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Resumen" sheetId="2" r:id="rId6"/>
    <sheet state="visible" name="Supuestos" sheetId="3" r:id="rId7"/>
    <sheet state="visible" name="Creditos" sheetId="4" r:id="rId8"/>
    <sheet state="visible" name="Calendario" sheetId="5" r:id="rId9"/>
    <sheet state="visible" name="Pagos" sheetId="6" r:id="rId10"/>
    <sheet state="visible" name="Metodologia" sheetId="7" r:id="rId11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6">
      <text>
        <t xml:space="preserve">Capital original menos capital efectivamente pagado. No es el saldo de la tabla teórica ni incluye intereses futuros, mora o cargos impagos.</t>
      </text>
    </comment>
    <comment authorId="0" ref="E30">
      <text>
        <t xml:space="preserve">Intereses de todas las cuotas pactadas. No incluye mora.</t>
      </text>
    </comment>
    <comment authorId="0" ref="H16">
      <text>
        <t xml:space="preserve">Suma de cuotas pendientes cuyo vencimiento es igual o anterior al corte, incluidos cargos. No sumar al capital pendiente para calcular deuda total: son bases distintas y se duplicaría capital.</t>
      </text>
    </comment>
    <comment authorId="0" ref="F30">
      <text>
        <t xml:space="preserve">Seguros y otros cargos mensuales del calendario completo.</t>
      </text>
    </comment>
    <comment authorId="0" ref="G30">
      <text>
        <t xml:space="preserve">Costo pagado al inicio y no financiado.</t>
      </text>
    </comment>
    <comment authorId="0" ref="J16">
      <text>
        <t xml:space="preserve">Fecha de la primera cuota con saldo pendiente, aunque ya esté vencida. No necesariamente es un vencimiento futuro.</t>
      </text>
    </comment>
    <comment authorId="0" ref="H30">
      <text>
        <t xml:space="preserve">Intereses + cargos recurrentes + costo inicial. Es un importe monetario, NO una tasa efectiva ni CAE.</t>
      </text>
    </comment>
    <comment authorId="0" ref="I30">
      <text>
        <t xml:space="preserve">Capital original + costo financiero total. Incluye pago inicial y todas las cuotas.</t>
      </text>
    </comment>
    <comment authorId="0" ref="J30">
      <text>
        <t xml:space="preserve">Capital original menos costo inicial, suponiendo que este se paga con el desembolso.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">
      <text>
        <t xml:space="preserve">Se incluyen pagos con fecha igual o anterior al corte. La fecha permite reconstruir la cartera al día elegido. Las cuotas exigibles vencen en o antes de esa fecha; hay atraso cuando la fecha de vencimiento es anterior y queda saldo.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9">
      <text>
        <t xml:space="preserve">Fecha de la primera cuota. Las siguientes se obtienen con EDATE sobre la primera fecha. Revisa reglas contractuales de día hábil.</t>
      </text>
    </comment>
    <comment authorId="0" ref="J9">
      <text>
        <t xml:space="preserve">Cargo mensual de seguro agregado a la cuota base. No cambia la amortización de capital.</t>
      </text>
    </comment>
    <comment authorId="0" ref="K9">
      <text>
        <t xml:space="preserve">Otro cargo recurrente fijo por mes. No incluye interés moratorio ni variaciones futuras.</t>
      </text>
    </comment>
    <comment authorId="0" ref="L9">
      <text>
        <t xml:space="preserve">Costo pagado al inicio, no financiado. Reduce capital neto recibido y aumenta costo total planificado; no se suma al saldo de capital.</t>
      </text>
    </comment>
    <comment authorId="0" ref="M9">
      <text>
        <t xml:space="preserve">Estado de entradas. Si hay error, el calendario del crédito queda sin resultados y debe corregirse.</t>
      </text>
    </comment>
    <comment authorId="0" ref="N9">
      <text>
        <t xml:space="preserve">Conversión de la tasa a un mes según la base indicada.</t>
      </text>
    </comment>
    <comment authorId="0" ref="O9">
      <text>
        <t xml:space="preserve">Pago mensual de capital e interés por PMT. En tasa cero: capital / número de cuotas. La última cuota se ajusta por redondeo.</t>
      </text>
    </comment>
    <comment authorId="0" ref="P9">
      <text>
        <t xml:space="preserve">Cuota base más seguro y otros cargos. La última puede variar por ajuste de centavos.</t>
      </text>
    </comment>
    <comment authorId="0" ref="Q9">
      <text>
        <t xml:space="preserve">Capital original menos costo inicial. No es el saldo pendiente.</t>
      </text>
    </comment>
    <comment authorId="0" ref="C10">
      <text>
        <t xml:space="preserve">Identificador único. Debe coincidir en Pagos. Máximo diez créditos.</t>
      </text>
    </comment>
    <comment authorId="0" ref="D10">
      <text>
        <t xml:space="preserve">Entidad acreedora y/o nombre que permita identificar el contrato.</t>
      </text>
    </comment>
    <comment authorId="0" ref="E10">
      <text>
        <t xml:space="preserve">Capital bruto financiado inicialmente, positivo. No restar el costo inicial ni cargar cuotas como capital original.</t>
      </text>
    </comment>
    <comment authorId="0" ref="F10">
      <text>
        <t xml:space="preserve">Porcentaje informado por el contrato. Su interpretación depende de Base de la tasa: nominal anual, efectiva anual o mensual.</t>
      </text>
    </comment>
    <comment authorId="0" ref="G10">
      <text>
        <t xml:space="preserve">Nominal anual: tasa / 12. Efectiva anual: (1 + tasa)^(1/12) − 1. Mensual: se usa directamente. No confundir tasa de interés con CAE o tasa que incluya gastos.</t>
      </text>
    </comment>
    <comment authorId="0" ref="H10">
      <text>
        <t xml:space="preserve">Número entero de cuotas, de 1 a 60. El modelo calcula cuotas mensuales vencidas sin carencia ni cuota final extraordinaria.</t>
      </text>
    </comment>
    <comment authorId="0" ref="I10">
      <text>
        <t xml:space="preserve">Fecha de la primera cuota. Las siguientes se obtienen con EDATE sobre la primera fecha. Revisa reglas contractuales de día hábil.</t>
      </text>
    </comment>
    <comment authorId="0" ref="J10">
      <text>
        <t xml:space="preserve">Cargo mensual de seguro agregado a la cuota base. No cambia la amortización de capital.</t>
      </text>
    </comment>
    <comment authorId="0" ref="K10">
      <text>
        <t xml:space="preserve">Otro cargo recurrente fijo por mes. No incluye interés moratorio ni variaciones futuras.</t>
      </text>
    </comment>
    <comment authorId="0" ref="L10">
      <text>
        <t xml:space="preserve">Costo pagado al inicio, no financiado. Reduce capital neto recibido y aumenta costo total planificado; no se suma al saldo de capital.</t>
      </text>
    </comment>
    <comment authorId="0" ref="M10">
      <text>
        <t xml:space="preserve">Estado de entradas. Si hay error, el calendario del crédito queda sin resultados y debe corregirse.</t>
      </text>
    </comment>
    <comment authorId="0" ref="N10">
      <text>
        <t xml:space="preserve">Conversión de la tasa a un mes según la base indicada.</t>
      </text>
    </comment>
    <comment authorId="0" ref="O10">
      <text>
        <t xml:space="preserve">Pago mensual de capital e interés por PMT. En tasa cero: capital / número de cuotas. La última cuota se ajusta por redondeo.</t>
      </text>
    </comment>
    <comment authorId="0" ref="P10">
      <text>
        <t xml:space="preserve">Cuota base más seguro y otros cargos. La última puede variar por ajuste de centavos.</t>
      </text>
    </comment>
    <comment authorId="0" ref="Q10">
      <text>
        <t xml:space="preserve">Capital original menos costo inicial. No es el saldo pendiente.</t>
      </text>
    </comment>
    <comment authorId="0" ref="C11">
      <text>
        <t xml:space="preserve">Identificador único. Debe coincidir en Pagos. Máximo diez créditos.</t>
      </text>
    </comment>
    <comment authorId="0" ref="D11">
      <text>
        <t xml:space="preserve">Entidad acreedora y/o nombre que permita identificar el contrato.</t>
      </text>
    </comment>
    <comment authorId="0" ref="E11">
      <text>
        <t xml:space="preserve">Capital bruto financiado inicialmente, positivo. No restar el costo inicial ni cargar cuotas como capital original.</t>
      </text>
    </comment>
    <comment authorId="0" ref="F11">
      <text>
        <t xml:space="preserve">Porcentaje informado por el contrato. Su interpretación depende de Base de la tasa: nominal anual, efectiva anual o mensual.</t>
      </text>
    </comment>
    <comment authorId="0" ref="G11">
      <text>
        <t xml:space="preserve">Nominal anual: tasa / 12. Efectiva anual: (1 + tasa)^(1/12) − 1. Mensual: se usa directamente. No confundir tasa de interés con CAE o tasa que incluya gastos.</t>
      </text>
    </comment>
    <comment authorId="0" ref="H11">
      <text>
        <t xml:space="preserve">Número entero de cuotas, de 1 a 60. El modelo calcula cuotas mensuales vencidas sin carencia ni cuota final extraordinaria.</t>
      </text>
    </comment>
    <comment authorId="0" ref="I11">
      <text>
        <t xml:space="preserve">Fecha de la primera cuota. Las siguientes se obtienen con EDATE sobre la primera fecha. Revisa reglas contractuales de día hábil.</t>
      </text>
    </comment>
    <comment authorId="0" ref="J11">
      <text>
        <t xml:space="preserve">Cargo mensual de seguro agregado a la cuota base. No cambia la amortización de capital.</t>
      </text>
    </comment>
    <comment authorId="0" ref="K11">
      <text>
        <t xml:space="preserve">Otro cargo recurrente fijo por mes. No incluye interés moratorio ni variaciones futuras.</t>
      </text>
    </comment>
    <comment authorId="0" ref="L11">
      <text>
        <t xml:space="preserve">Costo pagado al inicio, no financiado. Reduce capital neto recibido y aumenta costo total planificado; no se suma al saldo de capital.</t>
      </text>
    </comment>
    <comment authorId="0" ref="M11">
      <text>
        <t xml:space="preserve">Estado de entradas. Si hay error, el calendario del crédito queda sin resultados y debe corregirse.</t>
      </text>
    </comment>
    <comment authorId="0" ref="N11">
      <text>
        <t xml:space="preserve">Conversión de la tasa a un mes según la base indicada.</t>
      </text>
    </comment>
    <comment authorId="0" ref="O11">
      <text>
        <t xml:space="preserve">Pago mensual de capital e interés por PMT. En tasa cero: capital / número de cuotas. La última cuota se ajusta por redondeo.</t>
      </text>
    </comment>
    <comment authorId="0" ref="P11">
      <text>
        <t xml:space="preserve">Cuota base más seguro y otros cargos. La última puede variar por ajuste de centavos.</t>
      </text>
    </comment>
    <comment authorId="0" ref="Q11">
      <text>
        <t xml:space="preserve">Capital original menos costo inicial. No es el saldo pendiente.</t>
      </text>
    </comment>
    <comment authorId="0" ref="C12">
      <text>
        <t xml:space="preserve">Identificador único. Debe coincidir en Pagos. Máximo diez créditos.</t>
      </text>
    </comment>
    <comment authorId="0" ref="D12">
      <text>
        <t xml:space="preserve">Entidad acreedora y/o nombre que permita identificar el contrato.</t>
      </text>
    </comment>
    <comment authorId="0" ref="E12">
      <text>
        <t xml:space="preserve">Capital bruto financiado inicialmente, positivo. No restar el costo inicial ni cargar cuotas como capital original.</t>
      </text>
    </comment>
    <comment authorId="0" ref="F12">
      <text>
        <t xml:space="preserve">Porcentaje informado por el contrato. Su interpretación depende de Base de la tasa: nominal anual, efectiva anual o mensual.</t>
      </text>
    </comment>
    <comment authorId="0" ref="G12">
      <text>
        <t xml:space="preserve">Nominal anual: tasa / 12. Efectiva anual: (1 + tasa)^(1/12) − 1. Mensual: se usa directamente. No confundir tasa de interés con CAE o tasa que incluya gastos.</t>
      </text>
    </comment>
    <comment authorId="0" ref="H12">
      <text>
        <t xml:space="preserve">Número entero de cuotas, de 1 a 60. El modelo calcula cuotas mensuales vencidas sin carencia ni cuota final extraordinaria.</t>
      </text>
    </comment>
    <comment authorId="0" ref="I12">
      <text>
        <t xml:space="preserve">Fecha de la primera cuota. Las siguientes se obtienen con EDATE sobre la primera fecha. Revisa reglas contractuales de día hábil.</t>
      </text>
    </comment>
    <comment authorId="0" ref="J12">
      <text>
        <t xml:space="preserve">Cargo mensual de seguro agregado a la cuota base. No cambia la amortización de capital.</t>
      </text>
    </comment>
    <comment authorId="0" ref="K12">
      <text>
        <t xml:space="preserve">Otro cargo recurrente fijo por mes. No incluye interés moratorio ni variaciones futuras.</t>
      </text>
    </comment>
    <comment authorId="0" ref="L12">
      <text>
        <t xml:space="preserve">Costo pagado al inicio, no financiado. Reduce capital neto recibido y aumenta costo total planificado; no se suma al saldo de capital.</t>
      </text>
    </comment>
    <comment authorId="0" ref="M12">
      <text>
        <t xml:space="preserve">Estado de entradas. Si hay error, el calendario del crédito queda sin resultados y debe corregirse.</t>
      </text>
    </comment>
    <comment authorId="0" ref="N12">
      <text>
        <t xml:space="preserve">Conversión de la tasa a un mes según la base indicada.</t>
      </text>
    </comment>
    <comment authorId="0" ref="O12">
      <text>
        <t xml:space="preserve">Pago mensual de capital e interés por PMT. En tasa cero: capital / número de cuotas. La última cuota se ajusta por redondeo.</t>
      </text>
    </comment>
    <comment authorId="0" ref="P12">
      <text>
        <t xml:space="preserve">Cuota base más seguro y otros cargos. La última puede variar por ajuste de centavos.</t>
      </text>
    </comment>
    <comment authorId="0" ref="Q12">
      <text>
        <t xml:space="preserve">Capital original menos costo inicial. No es el saldo pendiente.</t>
      </text>
    </comment>
    <comment authorId="0" ref="C13">
      <text>
        <t xml:space="preserve">Identificador único. Debe coincidir en Pagos. Máximo diez créditos.</t>
      </text>
    </comment>
    <comment authorId="0" ref="D13">
      <text>
        <t xml:space="preserve">Entidad acreedora y/o nombre que permita identificar el contrato.</t>
      </text>
    </comment>
    <comment authorId="0" ref="E13">
      <text>
        <t xml:space="preserve">Capital bruto financiado inicialmente, positivo. No restar el costo inicial ni cargar cuotas como capital original.</t>
      </text>
    </comment>
    <comment authorId="0" ref="F13">
      <text>
        <t xml:space="preserve">Porcentaje informado por el contrato. Su interpretación depende de Base de la tasa: nominal anual, efectiva anual o mensual.</t>
      </text>
    </comment>
    <comment authorId="0" ref="G13">
      <text>
        <t xml:space="preserve">Nominal anual: tasa / 12. Efectiva anual: (1 + tasa)^(1/12) − 1. Mensual: se usa directamente. No confundir tasa de interés con CAE o tasa que incluya gastos.</t>
      </text>
    </comment>
    <comment authorId="0" ref="H13">
      <text>
        <t xml:space="preserve">Número entero de cuotas, de 1 a 60. El modelo calcula cuotas mensuales vencidas sin carencia ni cuota final extraordinaria.</t>
      </text>
    </comment>
    <comment authorId="0" ref="I13">
      <text>
        <t xml:space="preserve">Fecha de la primera cuota. Las siguientes se obtienen con EDATE sobre la primera fecha. Revisa reglas contractuales de día hábil.</t>
      </text>
    </comment>
    <comment authorId="0" ref="J13">
      <text>
        <t xml:space="preserve">Cargo mensual de seguro agregado a la cuota base. No cambia la amortización de capital.</t>
      </text>
    </comment>
    <comment authorId="0" ref="C5">
      <text>
        <t xml:space="preserve">Identificador único. Debe coincidir en Pagos. Máximo diez créditos.</t>
      </text>
    </comment>
    <comment authorId="0" ref="K13">
      <text>
        <t xml:space="preserve">Otro cargo recurrente fijo por mes. No incluye interés moratorio ni variaciones futuras.</t>
      </text>
    </comment>
    <comment authorId="0" ref="D5">
      <text>
        <t xml:space="preserve">Entidad acreedora y/o nombre que permita identificar el contrato.</t>
      </text>
    </comment>
    <comment authorId="0" ref="L13">
      <text>
        <t xml:space="preserve">Costo pagado al inicio, no financiado. Reduce capital neto recibido y aumenta costo total planificado; no se suma al saldo de capital.</t>
      </text>
    </comment>
    <comment authorId="0" ref="E5">
      <text>
        <t xml:space="preserve">Capital bruto financiado inicialmente, positivo. No restar el costo inicial ni cargar cuotas como capital original.</t>
      </text>
    </comment>
    <comment authorId="0" ref="M13">
      <text>
        <t xml:space="preserve">Estado de entradas. Si hay error, el calendario del crédito queda sin resultados y debe corregirse.</t>
      </text>
    </comment>
    <comment authorId="0" ref="F5">
      <text>
        <t xml:space="preserve">Porcentaje informado por el contrato. Su interpretación depende de Base de la tasa: nominal anual, efectiva anual o mensual.</t>
      </text>
    </comment>
    <comment authorId="0" ref="N13">
      <text>
        <t xml:space="preserve">Conversión de la tasa a un mes según la base indicada.</t>
      </text>
    </comment>
    <comment authorId="0" ref="G5">
      <text>
        <t xml:space="preserve">Nominal anual: tasa / 12. Efectiva anual: (1 + tasa)^(1/12) − 1. Mensual: se usa directamente. No confundir tasa de interés con CAE o tasa que incluya gastos.</t>
      </text>
    </comment>
    <comment authorId="0" ref="O13">
      <text>
        <t xml:space="preserve">Pago mensual de capital e interés por PMT. En tasa cero: capital / número de cuotas. La última cuota se ajusta por redondeo.</t>
      </text>
    </comment>
    <comment authorId="0" ref="H5">
      <text>
        <t xml:space="preserve">Número entero de cuotas, de 1 a 60. El modelo calcula cuotas mensuales vencidas sin carencia ni cuota final extraordinaria.</t>
      </text>
    </comment>
    <comment authorId="0" ref="P13">
      <text>
        <t xml:space="preserve">Cuota base más seguro y otros cargos. La última puede variar por ajuste de centavos.</t>
      </text>
    </comment>
    <comment authorId="0" ref="I5">
      <text>
        <t xml:space="preserve">Fecha de la primera cuota. Las siguientes se obtienen con EDATE sobre la primera fecha. Revisa reglas contractuales de día hábil.</t>
      </text>
    </comment>
    <comment authorId="0" ref="Q13">
      <text>
        <t xml:space="preserve">Capital original menos costo inicial. No es el saldo pendiente.</t>
      </text>
    </comment>
    <comment authorId="0" ref="J5">
      <text>
        <t xml:space="preserve">Cargo mensual de seguro agregado a la cuota base. No cambia la amortización de capital.</t>
      </text>
    </comment>
    <comment authorId="0" ref="K5">
      <text>
        <t xml:space="preserve">Otro cargo recurrente fijo por mes. No incluye interés moratorio ni variaciones futuras.</t>
      </text>
    </comment>
    <comment authorId="0" ref="L5">
      <text>
        <t xml:space="preserve">Costo pagado al inicio, no financiado. Reduce capital neto recibido y aumenta costo total planificado; no se suma al saldo de capital.</t>
      </text>
    </comment>
    <comment authorId="0" ref="M5">
      <text>
        <t xml:space="preserve">Estado de entradas. Si hay error, el calendario del crédito queda sin resultados y debe corregirse.</t>
      </text>
    </comment>
    <comment authorId="0" ref="N5">
      <text>
        <t xml:space="preserve">Conversión de la tasa a un mes según la base indicada.</t>
      </text>
    </comment>
    <comment authorId="0" ref="O5">
      <text>
        <t xml:space="preserve">Pago mensual de capital e interés por PMT. En tasa cero: capital / número de cuotas. La última cuota se ajusta por redondeo.</t>
      </text>
    </comment>
    <comment authorId="0" ref="P5">
      <text>
        <t xml:space="preserve">Cuota base más seguro y otros cargos. La última puede variar por ajuste de centavos.</t>
      </text>
    </comment>
    <comment authorId="0" ref="Q5">
      <text>
        <t xml:space="preserve">Capital original menos costo inicial. No es el saldo pendiente.</t>
      </text>
    </comment>
    <comment authorId="0" ref="C14">
      <text>
        <t xml:space="preserve">Identificador único. Debe coincidir en Pagos. Máximo diez créditos.</t>
      </text>
    </comment>
    <comment authorId="0" ref="D14">
      <text>
        <t xml:space="preserve">Entidad acreedora y/o nombre que permita identificar el contrato.</t>
      </text>
    </comment>
    <comment authorId="0" ref="E14">
      <text>
        <t xml:space="preserve">Capital bruto financiado inicialmente, positivo. No restar el costo inicial ni cargar cuotas como capital original.</t>
      </text>
    </comment>
    <comment authorId="0" ref="F14">
      <text>
        <t xml:space="preserve">Porcentaje informado por el contrato. Su interpretación depende de Base de la tasa: nominal anual, efectiva anual o mensual.</t>
      </text>
    </comment>
    <comment authorId="0" ref="G14">
      <text>
        <t xml:space="preserve">Nominal anual: tasa / 12. Efectiva anual: (1 + tasa)^(1/12) − 1. Mensual: se usa directamente. No confundir tasa de interés con CAE o tasa que incluya gastos.</t>
      </text>
    </comment>
    <comment authorId="0" ref="H14">
      <text>
        <t xml:space="preserve">Número entero de cuotas, de 1 a 60. El modelo calcula cuotas mensuales vencidas sin carencia ni cuota final extraordinaria.</t>
      </text>
    </comment>
    <comment authorId="0" ref="I14">
      <text>
        <t xml:space="preserve">Fecha de la primera cuota. Las siguientes se obtienen con EDATE sobre la primera fecha. Revisa reglas contractuales de día hábil.</t>
      </text>
    </comment>
    <comment authorId="0" ref="J14">
      <text>
        <t xml:space="preserve">Cargo mensual de seguro agregado a la cuota base. No cambia la amortización de capital.</t>
      </text>
    </comment>
    <comment authorId="0" ref="C6">
      <text>
        <t xml:space="preserve">Identificador único. Debe coincidir en Pagos. Máximo diez créditos.</t>
      </text>
    </comment>
    <comment authorId="0" ref="K14">
      <text>
        <t xml:space="preserve">Otro cargo recurrente fijo por mes. No incluye interés moratorio ni variaciones futuras.</t>
      </text>
    </comment>
    <comment authorId="0" ref="D6">
      <text>
        <t xml:space="preserve">Entidad acreedora y/o nombre que permita identificar el contrato.</t>
      </text>
    </comment>
    <comment authorId="0" ref="L14">
      <text>
        <t xml:space="preserve">Costo pagado al inicio, no financiado. Reduce capital neto recibido y aumenta costo total planificado; no se suma al saldo de capital.</t>
      </text>
    </comment>
    <comment authorId="0" ref="E6">
      <text>
        <t xml:space="preserve">Capital bruto financiado inicialmente, positivo. No restar el costo inicial ni cargar cuotas como capital original.</t>
      </text>
    </comment>
    <comment authorId="0" ref="M14">
      <text>
        <t xml:space="preserve">Estado de entradas. Si hay error, el calendario del crédito queda sin resultados y debe corregirse.</t>
      </text>
    </comment>
    <comment authorId="0" ref="F6">
      <text>
        <t xml:space="preserve">Porcentaje informado por el contrato. Su interpretación depende de Base de la tasa: nominal anual, efectiva anual o mensual.</t>
      </text>
    </comment>
    <comment authorId="0" ref="N14">
      <text>
        <t xml:space="preserve">Conversión de la tasa a un mes según la base indicada.</t>
      </text>
    </comment>
    <comment authorId="0" ref="G6">
      <text>
        <t xml:space="preserve">Nominal anual: tasa / 12. Efectiva anual: (1 + tasa)^(1/12) − 1. Mensual: se usa directamente. No confundir tasa de interés con CAE o tasa que incluya gastos.</t>
      </text>
    </comment>
    <comment authorId="0" ref="O14">
      <text>
        <t xml:space="preserve">Pago mensual de capital e interés por PMT. En tasa cero: capital / número de cuotas. La última cuota se ajusta por redondeo.</t>
      </text>
    </comment>
    <comment authorId="0" ref="H6">
      <text>
        <t xml:space="preserve">Número entero de cuotas, de 1 a 60. El modelo calcula cuotas mensuales vencidas sin carencia ni cuota final extraordinaria.</t>
      </text>
    </comment>
    <comment authorId="0" ref="P14">
      <text>
        <t xml:space="preserve">Cuota base más seguro y otros cargos. La última puede variar por ajuste de centavos.</t>
      </text>
    </comment>
    <comment authorId="0" ref="I6">
      <text>
        <t xml:space="preserve">Fecha de la primera cuota. Las siguientes se obtienen con EDATE sobre la primera fecha. Revisa reglas contractuales de día hábil.</t>
      </text>
    </comment>
    <comment authorId="0" ref="Q14">
      <text>
        <t xml:space="preserve">Capital original menos costo inicial. No es el saldo pendiente.</t>
      </text>
    </comment>
    <comment authorId="0" ref="J6">
      <text>
        <t xml:space="preserve">Cargo mensual de seguro agregado a la cuota base. No cambia la amortización de capital.</t>
      </text>
    </comment>
    <comment authorId="0" ref="K6">
      <text>
        <t xml:space="preserve">Otro cargo recurrente fijo por mes. No incluye interés moratorio ni variaciones futuras.</t>
      </text>
    </comment>
    <comment authorId="0" ref="L6">
      <text>
        <t xml:space="preserve">Costo pagado al inicio, no financiado. Reduce capital neto recibido y aumenta costo total planificado; no se suma al saldo de capital.</t>
      </text>
    </comment>
    <comment authorId="0" ref="M6">
      <text>
        <t xml:space="preserve">Estado de entradas. Si hay error, el calendario del crédito queda sin resultados y debe corregirse.</t>
      </text>
    </comment>
    <comment authorId="0" ref="N6">
      <text>
        <t xml:space="preserve">Conversión de la tasa a un mes según la base indicada.</t>
      </text>
    </comment>
    <comment authorId="0" ref="O6">
      <text>
        <t xml:space="preserve">Pago mensual de capital e interés por PMT. En tasa cero: capital / número de cuotas. La última cuota se ajusta por redondeo.</t>
      </text>
    </comment>
    <comment authorId="0" ref="P6">
      <text>
        <t xml:space="preserve">Cuota base más seguro y otros cargos. La última puede variar por ajuste de centavos.</t>
      </text>
    </comment>
    <comment authorId="0" ref="Q6">
      <text>
        <t xml:space="preserve">Capital original menos costo inicial. No es el saldo pendiente.</t>
      </text>
    </comment>
    <comment authorId="0" ref="C15">
      <text>
        <t xml:space="preserve">Identificador único. Debe coincidir en Pagos. Máximo diez créditos.</t>
      </text>
    </comment>
    <comment authorId="0" ref="D15">
      <text>
        <t xml:space="preserve">Entidad acreedora y/o nombre que permita identificar el contrato.</t>
      </text>
    </comment>
    <comment authorId="0" ref="E15">
      <text>
        <t xml:space="preserve">Capital bruto financiado inicialmente, positivo. No restar el costo inicial ni cargar cuotas como capital original.</t>
      </text>
    </comment>
    <comment authorId="0" ref="F15">
      <text>
        <t xml:space="preserve">Porcentaje informado por el contrato. Su interpretación depende de Base de la tasa: nominal anual, efectiva anual o mensual.</t>
      </text>
    </comment>
    <comment authorId="0" ref="G15">
      <text>
        <t xml:space="preserve">Nominal anual: tasa / 12. Efectiva anual: (1 + tasa)^(1/12) − 1. Mensual: se usa directamente. No confundir tasa de interés con CAE o tasa que incluya gastos.</t>
      </text>
    </comment>
    <comment authorId="0" ref="H15">
      <text>
        <t xml:space="preserve">Número entero de cuotas, de 1 a 60. El modelo calcula cuotas mensuales vencidas sin carencia ni cuota final extraordinaria.</t>
      </text>
    </comment>
    <comment authorId="0" ref="I15">
      <text>
        <t xml:space="preserve">Fecha de la primera cuota. Las siguientes se obtienen con EDATE sobre la primera fecha. Revisa reglas contractuales de día hábil.</t>
      </text>
    </comment>
    <comment authorId="0" ref="J15">
      <text>
        <t xml:space="preserve">Cargo mensual de seguro agregado a la cuota base. No cambia la amortización de capital.</t>
      </text>
    </comment>
    <comment authorId="0" ref="C7">
      <text>
        <t xml:space="preserve">Identificador único. Debe coincidir en Pagos. Máximo diez créditos.</t>
      </text>
    </comment>
    <comment authorId="0" ref="K15">
      <text>
        <t xml:space="preserve">Otro cargo recurrente fijo por mes. No incluye interés moratorio ni variaciones futuras.</t>
      </text>
    </comment>
    <comment authorId="0" ref="D7">
      <text>
        <t xml:space="preserve">Entidad acreedora y/o nombre que permita identificar el contrato.</t>
      </text>
    </comment>
    <comment authorId="0" ref="L15">
      <text>
        <t xml:space="preserve">Costo pagado al inicio, no financiado. Reduce capital neto recibido y aumenta costo total planificado; no se suma al saldo de capital.</t>
      </text>
    </comment>
    <comment authorId="0" ref="E7">
      <text>
        <t xml:space="preserve">Capital bruto financiado inicialmente, positivo. No restar el costo inicial ni cargar cuotas como capital original.</t>
      </text>
    </comment>
    <comment authorId="0" ref="M15">
      <text>
        <t xml:space="preserve">Estado de entradas. Si hay error, el calendario del crédito queda sin resultados y debe corregirse.</t>
      </text>
    </comment>
    <comment authorId="0" ref="F7">
      <text>
        <t xml:space="preserve">Porcentaje informado por el contrato. Su interpretación depende de Base de la tasa: nominal anual, efectiva anual o mensual.</t>
      </text>
    </comment>
    <comment authorId="0" ref="N15">
      <text>
        <t xml:space="preserve">Conversión de la tasa a un mes según la base indicada.</t>
      </text>
    </comment>
    <comment authorId="0" ref="G7">
      <text>
        <t xml:space="preserve">Nominal anual: tasa / 12. Efectiva anual: (1 + tasa)^(1/12) − 1. Mensual: se usa directamente. No confundir tasa de interés con CAE o tasa que incluya gastos.</t>
      </text>
    </comment>
    <comment authorId="0" ref="O15">
      <text>
        <t xml:space="preserve">Pago mensual de capital e interés por PMT. En tasa cero: capital / número de cuotas. La última cuota se ajusta por redondeo.</t>
      </text>
    </comment>
    <comment authorId="0" ref="H7">
      <text>
        <t xml:space="preserve">Número entero de cuotas, de 1 a 60. El modelo calcula cuotas mensuales vencidas sin carencia ni cuota final extraordinaria.</t>
      </text>
    </comment>
    <comment authorId="0" ref="P15">
      <text>
        <t xml:space="preserve">Cuota base más seguro y otros cargos. La última puede variar por ajuste de centavos.</t>
      </text>
    </comment>
    <comment authorId="0" ref="I7">
      <text>
        <t xml:space="preserve">Fecha de la primera cuota. Las siguientes se obtienen con EDATE sobre la primera fecha. Revisa reglas contractuales de día hábil.</t>
      </text>
    </comment>
    <comment authorId="0" ref="Q15">
      <text>
        <t xml:space="preserve">Capital original menos costo inicial. No es el saldo pendiente.</t>
      </text>
    </comment>
    <comment authorId="0" ref="J7">
      <text>
        <t xml:space="preserve">Cargo mensual de seguro agregado a la cuota base. No cambia la amortización de capital.</t>
      </text>
    </comment>
    <comment authorId="0" ref="K7">
      <text>
        <t xml:space="preserve">Otro cargo recurrente fijo por mes. No incluye interés moratorio ni variaciones futuras.</t>
      </text>
    </comment>
    <comment authorId="0" ref="L7">
      <text>
        <t xml:space="preserve">Costo pagado al inicio, no financiado. Reduce capital neto recibido y aumenta costo total planificado; no se suma al saldo de capital.</t>
      </text>
    </comment>
    <comment authorId="0" ref="M7">
      <text>
        <t xml:space="preserve">Estado de entradas. Si hay error, el calendario del crédito queda sin resultados y debe corregirse.</t>
      </text>
    </comment>
    <comment authorId="0" ref="N7">
      <text>
        <t xml:space="preserve">Conversión de la tasa a un mes según la base indicada.</t>
      </text>
    </comment>
    <comment authorId="0" ref="O7">
      <text>
        <t xml:space="preserve">Pago mensual de capital e interés por PMT. En tasa cero: capital / número de cuotas. La última cuota se ajusta por redondeo.</t>
      </text>
    </comment>
    <comment authorId="0" ref="P7">
      <text>
        <t xml:space="preserve">Cuota base más seguro y otros cargos. La última puede variar por ajuste de centavos.</t>
      </text>
    </comment>
    <comment authorId="0" ref="Q7">
      <text>
        <t xml:space="preserve">Capital original menos costo inicial. No es el saldo pendiente.</t>
      </text>
    </comment>
    <comment authorId="0" ref="C8">
      <text>
        <t xml:space="preserve">Identificador único. Debe coincidir en Pagos. Máximo diez créditos.</t>
      </text>
    </comment>
    <comment authorId="0" ref="D8">
      <text>
        <t xml:space="preserve">Entidad acreedora y/o nombre que permita identificar el contrato.</t>
      </text>
    </comment>
    <comment authorId="0" ref="E8">
      <text>
        <t xml:space="preserve">Capital bruto financiado inicialmente, positivo. No restar el costo inicial ni cargar cuotas como capital original.</t>
      </text>
    </comment>
    <comment authorId="0" ref="F8">
      <text>
        <t xml:space="preserve">Porcentaje informado por el contrato. Su interpretación depende de Base de la tasa: nominal anual, efectiva anual o mensual.</t>
      </text>
    </comment>
    <comment authorId="0" ref="G8">
      <text>
        <t xml:space="preserve">Nominal anual: tasa / 12. Efectiva anual: (1 + tasa)^(1/12) − 1. Mensual: se usa directamente. No confundir tasa de interés con CAE o tasa que incluya gastos.</t>
      </text>
    </comment>
    <comment authorId="0" ref="H8">
      <text>
        <t xml:space="preserve">Número entero de cuotas, de 1 a 60. El modelo calcula cuotas mensuales vencidas sin carencia ni cuota final extraordinaria.</t>
      </text>
    </comment>
    <comment authorId="0" ref="I8">
      <text>
        <t xml:space="preserve">Fecha de la primera cuota. Las siguientes se obtienen con EDATE sobre la primera fecha. Revisa reglas contractuales de día hábil.</t>
      </text>
    </comment>
    <comment authorId="0" ref="J8">
      <text>
        <t xml:space="preserve">Cargo mensual de seguro agregado a la cuota base. No cambia la amortización de capital.</t>
      </text>
    </comment>
    <comment authorId="0" ref="K8">
      <text>
        <t xml:space="preserve">Otro cargo recurrente fijo por mes. No incluye interés moratorio ni variaciones futuras.</t>
      </text>
    </comment>
    <comment authorId="0" ref="L8">
      <text>
        <t xml:space="preserve">Costo pagado al inicio, no financiado. Reduce capital neto recibido y aumenta costo total planificado; no se suma al saldo de capital.</t>
      </text>
    </comment>
    <comment authorId="0" ref="M8">
      <text>
        <t xml:space="preserve">Estado de entradas. Si hay error, el calendario del crédito queda sin resultados y debe corregirse.</t>
      </text>
    </comment>
    <comment authorId="0" ref="N8">
      <text>
        <t xml:space="preserve">Conversión de la tasa a un mes según la base indicada.</t>
      </text>
    </comment>
    <comment authorId="0" ref="O8">
      <text>
        <t xml:space="preserve">Pago mensual de capital e interés por PMT. En tasa cero: capital / número de cuotas. La última cuota se ajusta por redondeo.</t>
      </text>
    </comment>
    <comment authorId="0" ref="P8">
      <text>
        <t xml:space="preserve">Cuota base más seguro y otros cargos. La última puede variar por ajuste de centavos.</t>
      </text>
    </comment>
    <comment authorId="0" ref="Q8">
      <text>
        <t xml:space="preserve">Capital original menos costo inicial. No es el saldo pendiente.</t>
      </text>
    </comment>
    <comment authorId="0" ref="C9">
      <text>
        <t xml:space="preserve">Identificador único. Debe coincidir en Pagos. Máximo diez créditos.</t>
      </text>
    </comment>
    <comment authorId="0" ref="D9">
      <text>
        <t xml:space="preserve">Entidad acreedora y/o nombre que permita identificar el contrato.</t>
      </text>
    </comment>
    <comment authorId="0" ref="E9">
      <text>
        <t xml:space="preserve">Capital bruto financiado inicialmente, positivo. No restar el costo inicial ni cargar cuotas como capital original.</t>
      </text>
    </comment>
    <comment authorId="0" ref="F9">
      <text>
        <t xml:space="preserve">Porcentaje informado por el contrato. Su interpretación depende de Base de la tasa: nominal anual, efectiva anual o mensual.</t>
      </text>
    </comment>
    <comment authorId="0" ref="G9">
      <text>
        <t xml:space="preserve">Nominal anual: tasa / 12. Efectiva anual: (1 + tasa)^(1/12) − 1. Mensual: se usa directamente. No confundir tasa de interés con CAE o tasa que incluya gastos.</t>
      </text>
    </comment>
    <comment authorId="0" ref="H9">
      <text>
        <t xml:space="preserve">Número entero de cuotas, de 1 a 60. El modelo calcula cuotas mensuales vencidas sin carencia ni cuota final extraordinaria.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529">
      <text>
        <t xml:space="preserve">Días desde vencimiento hasta corte, solo si venció antes del corte y sigue con saldo.</t>
      </text>
    </comment>
    <comment authorId="0" ref="R529">
      <text>
        <t xml:space="preserve">MAX(0; pagado − cuota pactada). Exceso para revisar: no se traspasa a otra cuota.</t>
      </text>
    </comment>
    <comment authorId="0" ref="S529">
      <text>
        <t xml:space="preserve">Pagada, Vencida, Vence hoy, Por vencer o Exceso sin imputar según fecha y saldo al corte.</t>
      </text>
    </comment>
    <comment authorId="0" ref="T529">
      <text>
        <t xml:space="preserve">Auxiliar para encontrar la primera cuota pendiente. El 999999 indica que esta cuota no tiene saldo pendiente o está fuera del plazo, y no es una fecha real.</t>
      </text>
    </comment>
    <comment authorId="0" ref="C530">
      <text>
        <t xml:space="preserve">Crédito al que corresponde esta cuota.</t>
      </text>
    </comment>
    <comment authorId="0" ref="D530">
      <text>
        <t xml:space="preserve">Número de cuota dentro del crédito.</t>
      </text>
    </comment>
    <comment authorId="0" ref="E530">
      <text>
        <t xml:space="preserve">Fecha según EDATE a partir del primer vencimiento. No ajusta automáticamente feriados.</t>
      </text>
    </comment>
    <comment authorId="0" ref="F530">
      <text>
        <t xml:space="preserve">Capital al inicio del período en el calendario ORIGINAL, sin recalcular por pagos reales.</t>
      </text>
    </comment>
    <comment authorId="0" ref="G530">
      <text>
        <t xml:space="preserve">Tasa efectiva del mes según la base ingresada.</t>
      </text>
    </comment>
    <comment authorId="0" ref="H530">
      <text>
        <t xml:space="preserve">Interés del período = capital inicial × tasa mensual, redondeado a dos decimales.</t>
      </text>
    </comment>
    <comment authorId="0" ref="I530">
      <text>
        <t xml:space="preserve">Capital e interés pactados. La última cuota ajusta el saldo por redondeo.</t>
      </text>
    </comment>
    <comment authorId="0" ref="J530">
      <text>
        <t xml:space="preserve">Capital amortizado TEÓRICO = cuota base − interés, limitado al saldo.</t>
      </text>
    </comment>
    <comment authorId="0" ref="K530">
      <text>
        <t xml:space="preserve">Seguro y otros cargos fijos del mes.</t>
      </text>
    </comment>
    <comment authorId="0" ref="L530">
      <text>
        <t xml:space="preserve">Cuota base + cargos.</t>
      </text>
    </comment>
    <comment authorId="0" ref="M530">
      <text>
        <t xml:space="preserve">Capital final del calendario teórico. No equivale al saldo real si hay pagos parciales o atrasos.</t>
      </text>
    </comment>
    <comment authorId="0" ref="N530">
      <text>
        <t xml:space="preserve">Suma de pagos válidos del mismo ID y cuota con fecha igual o anterior al corte.</t>
      </text>
    </comment>
    <comment authorId="0" ref="O530">
      <text>
        <t xml:space="preserve">MIN(amortización pactada; MAX(0; pagado − cargos − interés)). No imputa excedentes a otras cuotas.</t>
      </text>
    </comment>
    <comment authorId="0" ref="P530">
      <text>
        <t xml:space="preserve">MAX(0; total pactado − pagado a esta cuota). Incluye capital, interés y cargos pendientes de ESA cuota.</t>
      </text>
    </comment>
    <comment authorId="0" ref="Q530">
      <text>
        <t xml:space="preserve">Días desde vencimiento hasta corte, solo si venció antes del corte y sigue con saldo.</t>
      </text>
    </comment>
    <comment authorId="0" ref="R530">
      <text>
        <t xml:space="preserve">MAX(0; pagado − cuota pactada). Exceso para revisar: no se traspasa a otra cuota.</t>
      </text>
    </comment>
    <comment authorId="0" ref="S530">
      <text>
        <t xml:space="preserve">Pagada, Vencida, Vence hoy, Por vencer o Exceso sin imputar según fecha y saldo al corte.</t>
      </text>
    </comment>
    <comment authorId="0" ref="T530">
      <text>
        <t xml:space="preserve">Auxiliar para encontrar la primera cuota pendiente. El 999999 indica que esta cuota no tiene saldo pendiente o está fuera del plazo, y no es una fecha real.</t>
      </text>
    </comment>
    <comment authorId="0" ref="C531">
      <text>
        <t xml:space="preserve">Crédito al que corresponde esta cuota.</t>
      </text>
    </comment>
    <comment authorId="0" ref="D531">
      <text>
        <t xml:space="preserve">Número de cuota dentro del crédito.</t>
      </text>
    </comment>
    <comment authorId="0" ref="E531">
      <text>
        <t xml:space="preserve">Fecha según EDATE a partir del primer vencimiento. No ajusta automáticamente feriados.</t>
      </text>
    </comment>
    <comment authorId="0" ref="F531">
      <text>
        <t xml:space="preserve">Capital al inicio del período en el calendario ORIGINAL, sin recalcular por pagos reales.</t>
      </text>
    </comment>
    <comment authorId="0" ref="G531">
      <text>
        <t xml:space="preserve">Tasa efectiva del mes según la base ingresada.</t>
      </text>
    </comment>
    <comment authorId="0" ref="H531">
      <text>
        <t xml:space="preserve">Interés del período = capital inicial × tasa mensual, redondeado a dos decimales.</t>
      </text>
    </comment>
    <comment authorId="0" ref="I531">
      <text>
        <t xml:space="preserve">Capital e interés pactados. La última cuota ajusta el saldo por redondeo.</t>
      </text>
    </comment>
    <comment authorId="0" ref="J531">
      <text>
        <t xml:space="preserve">Capital amortizado TEÓRICO = cuota base − interés, limitado al saldo.</t>
      </text>
    </comment>
    <comment authorId="0" ref="K531">
      <text>
        <t xml:space="preserve">Seguro y otros cargos fijos del mes.</t>
      </text>
    </comment>
    <comment authorId="0" ref="L531">
      <text>
        <t xml:space="preserve">Cuota base + cargos.</t>
      </text>
    </comment>
    <comment authorId="0" ref="M531">
      <text>
        <t xml:space="preserve">Capital final del calendario teórico. No equivale al saldo real si hay pagos parciales o atrasos.</t>
      </text>
    </comment>
    <comment authorId="0" ref="N531">
      <text>
        <t xml:space="preserve">Suma de pagos válidos del mismo ID y cuota con fecha igual o anterior al corte.</t>
      </text>
    </comment>
    <comment authorId="0" ref="O531">
      <text>
        <t xml:space="preserve">MIN(amortización pactada; MAX(0; pagado − cargos − interés)). No imputa excedentes a otras cuotas.</t>
      </text>
    </comment>
    <comment authorId="0" ref="P531">
      <text>
        <t xml:space="preserve">MAX(0; total pactado − pagado a esta cuota). Incluye capital, interés y cargos pendientes de ESA cuota.</t>
      </text>
    </comment>
    <comment authorId="0" ref="Q531">
      <text>
        <t xml:space="preserve">Días desde vencimiento hasta corte, solo si venció antes del corte y sigue con saldo.</t>
      </text>
    </comment>
    <comment authorId="0" ref="R531">
      <text>
        <t xml:space="preserve">MAX(0; pagado − cuota pactada). Exceso para revisar: no se traspasa a otra cuota.</t>
      </text>
    </comment>
    <comment authorId="0" ref="S531">
      <text>
        <t xml:space="preserve">Pagada, Vencida, Vence hoy, Por vencer o Exceso sin imputar según fecha y saldo al corte.</t>
      </text>
    </comment>
    <comment authorId="0" ref="T531">
      <text>
        <t xml:space="preserve">Auxiliar para encontrar la primera cuota pendiente. El 999999 indica que esta cuota no tiene saldo pendiente o está fuera del plazo, y no es una fecha real.</t>
      </text>
    </comment>
    <comment authorId="0" ref="C532">
      <text>
        <t xml:space="preserve">Crédito al que corresponde esta cuota.</t>
      </text>
    </comment>
    <comment authorId="0" ref="D532">
      <text>
        <t xml:space="preserve">Número de cuota dentro del crédito.</t>
      </text>
    </comment>
    <comment authorId="0" ref="E532">
      <text>
        <t xml:space="preserve">Fecha según EDATE a partir del primer vencimiento. No ajusta automáticamente feriados.</t>
      </text>
    </comment>
    <comment authorId="0" ref="F532">
      <text>
        <t xml:space="preserve">Capital al inicio del período en el calendario ORIGINAL, sin recalcular por pagos reales.</t>
      </text>
    </comment>
    <comment authorId="0" ref="G532">
      <text>
        <t xml:space="preserve">Tasa efectiva del mes según la base ingresada.</t>
      </text>
    </comment>
    <comment authorId="0" ref="H532">
      <text>
        <t xml:space="preserve">Interés del período = capital inicial × tasa mensual, redondeado a dos decimales.</t>
      </text>
    </comment>
    <comment authorId="0" ref="I532">
      <text>
        <t xml:space="preserve">Capital e interés pactados. La última cuota ajusta el saldo por redondeo.</t>
      </text>
    </comment>
    <comment authorId="0" ref="J532">
      <text>
        <t xml:space="preserve">Capital amortizado TEÓRICO = cuota base − interés, limitado al saldo.</t>
      </text>
    </comment>
    <comment authorId="0" ref="K532">
      <text>
        <t xml:space="preserve">Seguro y otros cargos fijos del mes.</t>
      </text>
    </comment>
    <comment authorId="0" ref="L532">
      <text>
        <t xml:space="preserve">Cuota base + cargos.</t>
      </text>
    </comment>
    <comment authorId="0" ref="M532">
      <text>
        <t xml:space="preserve">Capital final del calendario teórico. No equivale al saldo real si hay pagos parciales o atrasos.</t>
      </text>
    </comment>
    <comment authorId="0" ref="N532">
      <text>
        <t xml:space="preserve">Suma de pagos válidos del mismo ID y cuota con fecha igual o anterior al corte.</t>
      </text>
    </comment>
    <comment authorId="0" ref="O532">
      <text>
        <t xml:space="preserve">MIN(amortización pactada; MAX(0; pagado − cargos − interés)). No imputa excedentes a otras cuotas.</t>
      </text>
    </comment>
    <comment authorId="0" ref="P532">
      <text>
        <t xml:space="preserve">MAX(0; total pactado − pagado a esta cuota). Incluye capital, interés y cargos pendientes de ESA cuota.</t>
      </text>
    </comment>
    <comment authorId="0" ref="Q532">
      <text>
        <t xml:space="preserve">Días desde vencimiento hasta corte, solo si venció antes del corte y sigue con saldo.</t>
      </text>
    </comment>
    <comment authorId="0" ref="R532">
      <text>
        <t xml:space="preserve">MAX(0; pagado − cuota pactada). Exceso para revisar: no se traspasa a otra cuota.</t>
      </text>
    </comment>
    <comment authorId="0" ref="S532">
      <text>
        <t xml:space="preserve">Pagada, Vencida, Vence hoy, Por vencer o Exceso sin imputar según fecha y saldo al corte.</t>
      </text>
    </comment>
    <comment authorId="0" ref="T532">
      <text>
        <t xml:space="preserve">Auxiliar para encontrar la primera cuota pendiente. El 999999 indica que esta cuota no tiene saldo pendiente o está fuera del plazo, y no es una fecha real.</t>
      </text>
    </comment>
    <comment authorId="0" ref="C533">
      <text>
        <t xml:space="preserve">Crédito al que corresponde esta cuota.</t>
      </text>
    </comment>
    <comment authorId="0" ref="D533">
      <text>
        <t xml:space="preserve">Número de cuota dentro del crédito.</t>
      </text>
    </comment>
    <comment authorId="0" ref="E533">
      <text>
        <t xml:space="preserve">Fecha según EDATE a partir del primer vencimiento. No ajusta automáticamente feriados.</t>
      </text>
    </comment>
    <comment authorId="0" ref="F533">
      <text>
        <t xml:space="preserve">Capital al inicio del período en el calendario ORIGINAL, sin recalcular por pagos reales.</t>
      </text>
    </comment>
    <comment authorId="0" ref="G533">
      <text>
        <t xml:space="preserve">Tasa efectiva del mes según la base ingresada.</t>
      </text>
    </comment>
    <comment authorId="0" ref="H533">
      <text>
        <t xml:space="preserve">Interés del período = capital inicial × tasa mensual, redondeado a dos decimales.</t>
      </text>
    </comment>
    <comment authorId="0" ref="I533">
      <text>
        <t xml:space="preserve">Capital e interés pactados. La última cuota ajusta el saldo por redondeo.</t>
      </text>
    </comment>
    <comment authorId="0" ref="J533">
      <text>
        <t xml:space="preserve">Capital amortizado TEÓRICO = cuota base − interés, limitado al saldo.</t>
      </text>
    </comment>
    <comment authorId="0" ref="K533">
      <text>
        <t xml:space="preserve">Seguro y otros cargos fijos del mes.</t>
      </text>
    </comment>
    <comment authorId="0" ref="L533">
      <text>
        <t xml:space="preserve">Cuota base + cargos.</t>
      </text>
    </comment>
    <comment authorId="0" ref="M533">
      <text>
        <t xml:space="preserve">Capital final del calendario teórico. No equivale al saldo real si hay pagos parciales o atrasos.</t>
      </text>
    </comment>
    <comment authorId="0" ref="N533">
      <text>
        <t xml:space="preserve">Suma de pagos válidos del mismo ID y cuota con fecha igual o anterior al corte.</t>
      </text>
    </comment>
    <comment authorId="0" ref="O533">
      <text>
        <t xml:space="preserve">MIN(amortización pactada; MAX(0; pagado − cargos − interés)). No imputa excedentes a otras cuotas.</t>
      </text>
    </comment>
    <comment authorId="0" ref="P533">
      <text>
        <t xml:space="preserve">MAX(0; total pactado − pagado a esta cuota). Incluye capital, interés y cargos pendientes de ESA cuota.</t>
      </text>
    </comment>
    <comment authorId="0" ref="Q533">
      <text>
        <t xml:space="preserve">Días desde vencimiento hasta corte, solo si venció antes del corte y sigue con saldo.</t>
      </text>
    </comment>
    <comment authorId="0" ref="R533">
      <text>
        <t xml:space="preserve">MAX(0; pagado − cuota pactada). Exceso para revisar: no se traspasa a otra cuota.</t>
      </text>
    </comment>
    <comment authorId="0" ref="S533">
      <text>
        <t xml:space="preserve">Pagada, Vencida, Vence hoy, Por vencer o Exceso sin imputar según fecha y saldo al corte.</t>
      </text>
    </comment>
    <comment authorId="0" ref="T533">
      <text>
        <t xml:space="preserve">Auxiliar para encontrar la primera cuota pendiente. El 999999 indica que esta cuota no tiene saldo pendiente o está fuera del plazo, y no es una fecha real.</t>
      </text>
    </comment>
    <comment authorId="0" ref="C534">
      <text>
        <t xml:space="preserve">Crédito al que corresponde esta cuota.</t>
      </text>
    </comment>
    <comment authorId="0" ref="D534">
      <text>
        <t xml:space="preserve">Número de cuota dentro del crédito.</t>
      </text>
    </comment>
    <comment authorId="0" ref="E534">
      <text>
        <t xml:space="preserve">Fecha según EDATE a partir del primer vencimiento. No ajusta automáticamente feriados.</t>
      </text>
    </comment>
    <comment authorId="0" ref="F534">
      <text>
        <t xml:space="preserve">Capital al inicio del período en el calendario ORIGINAL, sin recalcular por pagos reales.</t>
      </text>
    </comment>
    <comment authorId="0" ref="G534">
      <text>
        <t xml:space="preserve">Tasa efectiva del mes según la base ingresada.</t>
      </text>
    </comment>
    <comment authorId="0" ref="H534">
      <text>
        <t xml:space="preserve">Interés del período = capital inicial × tasa mensual, redondeado a dos decimales.</t>
      </text>
    </comment>
    <comment authorId="0" ref="I534">
      <text>
        <t xml:space="preserve">Capital e interés pactados. La última cuota ajusta el saldo por redondeo.</t>
      </text>
    </comment>
    <comment authorId="0" ref="J534">
      <text>
        <t xml:space="preserve">Capital amortizado TEÓRICO = cuota base − interés, limitado al saldo.</t>
      </text>
    </comment>
    <comment authorId="0" ref="K534">
      <text>
        <t xml:space="preserve">Seguro y otros cargos fijos del mes.</t>
      </text>
    </comment>
    <comment authorId="0" ref="L534">
      <text>
        <t xml:space="preserve">Cuota base + cargos.</t>
      </text>
    </comment>
    <comment authorId="0" ref="M534">
      <text>
        <t xml:space="preserve">Capital final del calendario teórico. No equivale al saldo real si hay pagos parciales o atrasos.</t>
      </text>
    </comment>
    <comment authorId="0" ref="N534">
      <text>
        <t xml:space="preserve">Suma de pagos válidos del mismo ID y cuota con fecha igual o anterior al corte.</t>
      </text>
    </comment>
    <comment authorId="0" ref="O534">
      <text>
        <t xml:space="preserve">MIN(amortización pactada; MAX(0; pagado − cargos − interés)). No imputa excedentes a otras cuotas.</t>
      </text>
    </comment>
    <comment authorId="0" ref="P534">
      <text>
        <t xml:space="preserve">MAX(0; total pactado − pagado a esta cuota). Incluye capital, interés y cargos pendientes de ESA cuota.</t>
      </text>
    </comment>
    <comment authorId="0" ref="Q534">
      <text>
        <t xml:space="preserve">Días desde vencimiento hasta corte, solo si venció antes del corte y sigue con saldo.</t>
      </text>
    </comment>
    <comment authorId="0" ref="R534">
      <text>
        <t xml:space="preserve">MAX(0; pagado − cuota pactada). Exceso para revisar: no se traspasa a otra cuota.</t>
      </text>
    </comment>
    <comment authorId="0" ref="C6">
      <text>
        <t xml:space="preserve">Crédito al que corresponde esta cuota.</t>
      </text>
    </comment>
    <comment authorId="0" ref="S534">
      <text>
        <t xml:space="preserve">Pagada, Vencida, Vence hoy, Por vencer o Exceso sin imputar según fecha y saldo al corte.</t>
      </text>
    </comment>
    <comment authorId="0" ref="D6">
      <text>
        <t xml:space="preserve">Número de cuota dentro del crédito.</t>
      </text>
    </comment>
    <comment authorId="0" ref="T534">
      <text>
        <t xml:space="preserve">Auxiliar para encontrar la primera cuota pendiente. El 999999 indica que esta cuota no tiene saldo pendiente o está fuera del plazo, y no es una fecha real.</t>
      </text>
    </comment>
    <comment authorId="0" ref="E6">
      <text>
        <t xml:space="preserve">Fecha según EDATE a partir del primer vencimiento. No ajusta automáticamente feriados.</t>
      </text>
    </comment>
    <comment authorId="0" ref="F6">
      <text>
        <t xml:space="preserve">Capital al inicio del período en el calendario ORIGINAL, sin recalcular por pagos reales.</t>
      </text>
    </comment>
    <comment authorId="0" ref="G6">
      <text>
        <t xml:space="preserve">Tasa efectiva del mes según la base ingresada.</t>
      </text>
    </comment>
    <comment authorId="0" ref="H6">
      <text>
        <t xml:space="preserve">Interés del período = capital inicial × tasa mensual, redondeado a dos decimales.</t>
      </text>
    </comment>
    <comment authorId="0" ref="I6">
      <text>
        <t xml:space="preserve">Capital e interés pactados. La última cuota ajusta el saldo por redondeo.</t>
      </text>
    </comment>
    <comment authorId="0" ref="J6">
      <text>
        <t xml:space="preserve">Capital amortizado TEÓRICO = cuota base − interés, limitado al saldo.</t>
      </text>
    </comment>
    <comment authorId="0" ref="K6">
      <text>
        <t xml:space="preserve">Seguro y otros cargos fijos del mes.</t>
      </text>
    </comment>
    <comment authorId="0" ref="L6">
      <text>
        <t xml:space="preserve">Cuota base + cargos.</t>
      </text>
    </comment>
    <comment authorId="0" ref="M6">
      <text>
        <t xml:space="preserve">Capital final del calendario teórico. No equivale al saldo real si hay pagos parciales o atrasos.</t>
      </text>
    </comment>
    <comment authorId="0" ref="N6">
      <text>
        <t xml:space="preserve">Suma de pagos válidos del mismo ID y cuota con fecha igual o anterior al corte.</t>
      </text>
    </comment>
    <comment authorId="0" ref="O6">
      <text>
        <t xml:space="preserve">MIN(amortización pactada; MAX(0; pagado − cargos − interés)). No imputa excedentes a otras cuotas.</t>
      </text>
    </comment>
    <comment authorId="0" ref="P6">
      <text>
        <t xml:space="preserve">MAX(0; total pactado − pagado a esta cuota). Incluye capital, interés y cargos pendientes de ESA cuota.</t>
      </text>
    </comment>
    <comment authorId="0" ref="Q6">
      <text>
        <t xml:space="preserve">Días desde vencimiento hasta corte, solo si venció antes del corte y sigue con saldo.</t>
      </text>
    </comment>
    <comment authorId="0" ref="R6">
      <text>
        <t xml:space="preserve">MAX(0; pagado − cuota pactada). Exceso para revisar: no se traspasa a otra cuota.</t>
      </text>
    </comment>
    <comment authorId="0" ref="C535">
      <text>
        <t xml:space="preserve">Crédito al que corresponde esta cuota.</t>
      </text>
    </comment>
    <comment authorId="0" ref="S6">
      <text>
        <t xml:space="preserve">Pagada, Vencida, Vence hoy, Por vencer o Exceso sin imputar según fecha y saldo al corte.</t>
      </text>
    </comment>
    <comment authorId="0" ref="D535">
      <text>
        <t xml:space="preserve">Número de cuota dentro del crédito.</t>
      </text>
    </comment>
    <comment authorId="0" ref="T6">
      <text>
        <t xml:space="preserve">Auxiliar para encontrar la primera cuota pendiente. El 999999 indica que esta cuota no tiene saldo pendiente o está fuera del plazo, y no es una fecha real.</t>
      </text>
    </comment>
    <comment authorId="0" ref="E535">
      <text>
        <t xml:space="preserve">Fecha según EDATE a partir del primer vencimiento. No ajusta automáticamente feriados.</t>
      </text>
    </comment>
    <comment authorId="0" ref="F535">
      <text>
        <t xml:space="preserve">Capital al inicio del período en el calendario ORIGINAL, sin recalcular por pagos reales.</t>
      </text>
    </comment>
    <comment authorId="0" ref="G535">
      <text>
        <t xml:space="preserve">Tasa efectiva del mes según la base ingresada.</t>
      </text>
    </comment>
    <comment authorId="0" ref="H535">
      <text>
        <t xml:space="preserve">Interés del período = capital inicial × tasa mensual, redondeado a dos decimales.</t>
      </text>
    </comment>
    <comment authorId="0" ref="I535">
      <text>
        <t xml:space="preserve">Capital e interés pactados. La última cuota ajusta el saldo por redondeo.</t>
      </text>
    </comment>
    <comment authorId="0" ref="J535">
      <text>
        <t xml:space="preserve">Capital amortizado TEÓRICO = cuota base − interés, limitado al saldo.</t>
      </text>
    </comment>
    <comment authorId="0" ref="K535">
      <text>
        <t xml:space="preserve">Seguro y otros cargos fijos del mes.</t>
      </text>
    </comment>
    <comment authorId="0" ref="L535">
      <text>
        <t xml:space="preserve">Cuota base + cargos.</t>
      </text>
    </comment>
    <comment authorId="0" ref="M535">
      <text>
        <t xml:space="preserve">Capital final del calendario teórico. No equivale al saldo real si hay pagos parciales o atrasos.</t>
      </text>
    </comment>
    <comment authorId="0" ref="N535">
      <text>
        <t xml:space="preserve">Suma de pagos válidos del mismo ID y cuota con fecha igual o anterior al corte.</t>
      </text>
    </comment>
    <comment authorId="0" ref="O535">
      <text>
        <t xml:space="preserve">MIN(amortización pactada; MAX(0; pagado − cargos − interés)). No imputa excedentes a otras cuotas.</t>
      </text>
    </comment>
    <comment authorId="0" ref="P535">
      <text>
        <t xml:space="preserve">MAX(0; total pactado − pagado a esta cuota). Incluye capital, interés y cargos pendientes de ESA cuota.</t>
      </text>
    </comment>
    <comment authorId="0" ref="Q535">
      <text>
        <t xml:space="preserve">Días desde vencimiento hasta corte, solo si venció antes del corte y sigue con saldo.</t>
      </text>
    </comment>
    <comment authorId="0" ref="R535">
      <text>
        <t xml:space="preserve">MAX(0; pagado − cuota pactada). Exceso para revisar: no se traspasa a otra cuota.</t>
      </text>
    </comment>
    <comment authorId="0" ref="C7">
      <text>
        <t xml:space="preserve">Crédito al que corresponde esta cuota.</t>
      </text>
    </comment>
    <comment authorId="0" ref="S535">
      <text>
        <t xml:space="preserve">Pagada, Vencida, Vence hoy, Por vencer o Exceso sin imputar según fecha y saldo al corte.</t>
      </text>
    </comment>
    <comment authorId="0" ref="D7">
      <text>
        <t xml:space="preserve">Número de cuota dentro del crédito.</t>
      </text>
    </comment>
    <comment authorId="0" ref="T535">
      <text>
        <t xml:space="preserve">Auxiliar para encontrar la primera cuota pendiente. El 999999 indica que esta cuota no tiene saldo pendiente o está fuera del plazo, y no es una fecha real.</t>
      </text>
    </comment>
    <comment authorId="0" ref="E7">
      <text>
        <t xml:space="preserve">Fecha según EDATE a partir del primer vencimiento. No ajusta automáticamente feriados.</t>
      </text>
    </comment>
    <comment authorId="0" ref="F7">
      <text>
        <t xml:space="preserve">Capital al inicio del período en el calendario ORIGINAL, sin recalcular por pagos reales.</t>
      </text>
    </comment>
    <comment authorId="0" ref="G7">
      <text>
        <t xml:space="preserve">Tasa efectiva del mes según la base ingresada.</t>
      </text>
    </comment>
    <comment authorId="0" ref="H7">
      <text>
        <t xml:space="preserve">Interés del período = capital inicial × tasa mensual, redondeado a dos decimales.</t>
      </text>
    </comment>
    <comment authorId="0" ref="I7">
      <text>
        <t xml:space="preserve">Capital e interés pactados. La última cuota ajusta el saldo por redondeo.</t>
      </text>
    </comment>
    <comment authorId="0" ref="J7">
      <text>
        <t xml:space="preserve">Capital amortizado TEÓRICO = cuota base − interés, limitado al saldo.</t>
      </text>
    </comment>
    <comment authorId="0" ref="K7">
      <text>
        <t xml:space="preserve">Seguro y otros cargos fijos del mes.</t>
      </text>
    </comment>
    <comment authorId="0" ref="L7">
      <text>
        <t xml:space="preserve">Cuota base + cargos.</t>
      </text>
    </comment>
    <comment authorId="0" ref="M7">
      <text>
        <t xml:space="preserve">Capital final del calendario teórico. No equivale al saldo real si hay pagos parciales o atrasos.</t>
      </text>
    </comment>
    <comment authorId="0" ref="N7">
      <text>
        <t xml:space="preserve">Suma de pagos válidos del mismo ID y cuota con fecha igual o anterior al corte.</t>
      </text>
    </comment>
    <comment authorId="0" ref="O7">
      <text>
        <t xml:space="preserve">MIN(amortización pactada; MAX(0; pagado − cargos − interés)). No imputa excedentes a otras cuotas.</t>
      </text>
    </comment>
    <comment authorId="0" ref="P7">
      <text>
        <t xml:space="preserve">MAX(0; total pactado − pagado a esta cuota). Incluye capital, interés y cargos pendientes de ESA cuota.</t>
      </text>
    </comment>
    <comment authorId="0" ref="Q7">
      <text>
        <t xml:space="preserve">Días desde vencimiento hasta corte, solo si venció antes del corte y sigue con saldo.</t>
      </text>
    </comment>
    <comment authorId="0" ref="R7">
      <text>
        <t xml:space="preserve">MAX(0; pagado − cuota pactada). Exceso para revisar: no se traspasa a otra cuota.</t>
      </text>
    </comment>
    <comment authorId="0" ref="C536">
      <text>
        <t xml:space="preserve">Crédito al que corresponde esta cuota.</t>
      </text>
    </comment>
    <comment authorId="0" ref="S7">
      <text>
        <t xml:space="preserve">Pagada, Vencida, Vence hoy, Por vencer o Exceso sin imputar según fecha y saldo al corte.</t>
      </text>
    </comment>
    <comment authorId="0" ref="D536">
      <text>
        <t xml:space="preserve">Número de cuota dentro del crédito.</t>
      </text>
    </comment>
    <comment authorId="0" ref="T7">
      <text>
        <t xml:space="preserve">Auxiliar para encontrar la primera cuota pendiente. El 999999 indica que esta cuota no tiene saldo pendiente o está fuera del plazo, y no es una fecha real.</t>
      </text>
    </comment>
    <comment authorId="0" ref="E536">
      <text>
        <t xml:space="preserve">Fecha según EDATE a partir del primer vencimiento. No ajusta automáticamente feriados.</t>
      </text>
    </comment>
    <comment authorId="0" ref="F536">
      <text>
        <t xml:space="preserve">Capital al inicio del período en el calendario ORIGINAL, sin recalcular por pagos reales.</t>
      </text>
    </comment>
    <comment authorId="0" ref="G536">
      <text>
        <t xml:space="preserve">Tasa efectiva del mes según la base ingresada.</t>
      </text>
    </comment>
    <comment authorId="0" ref="H536">
      <text>
        <t xml:space="preserve">Interés del período = capital inicial × tasa mensual, redondeado a dos decimales.</t>
      </text>
    </comment>
    <comment authorId="0" ref="I536">
      <text>
        <t xml:space="preserve">Capital e interés pactados. La última cuota ajusta el saldo por redondeo.</t>
      </text>
    </comment>
    <comment authorId="0" ref="J536">
      <text>
        <t xml:space="preserve">Capital amortizado TEÓRICO = cuota base − interés, limitado al saldo.</t>
      </text>
    </comment>
    <comment authorId="0" ref="K536">
      <text>
        <t xml:space="preserve">Seguro y otros cargos fijos del mes.</t>
      </text>
    </comment>
    <comment authorId="0" ref="L536">
      <text>
        <t xml:space="preserve">Cuota base + cargos.</t>
      </text>
    </comment>
    <comment authorId="0" ref="M536">
      <text>
        <t xml:space="preserve">Capital final del calendario teórico. No equivale al saldo real si hay pagos parciales o atrasos.</t>
      </text>
    </comment>
    <comment authorId="0" ref="N536">
      <text>
        <t xml:space="preserve">Suma de pagos válidos del mismo ID y cuota con fecha igual o anterior al corte.</t>
      </text>
    </comment>
    <comment authorId="0" ref="O536">
      <text>
        <t xml:space="preserve">MIN(amortización pactada; MAX(0; pagado − cargos − interés)). No imputa excedentes a otras cuotas.</t>
      </text>
    </comment>
    <comment authorId="0" ref="P536">
      <text>
        <t xml:space="preserve">MAX(0; total pactado − pagado a esta cuota). Incluye capital, interés y cargos pendientes de ESA cuota.</t>
      </text>
    </comment>
    <comment authorId="0" ref="Q536">
      <text>
        <t xml:space="preserve">Días desde vencimiento hasta corte, solo si venció antes del corte y sigue con saldo.</t>
      </text>
    </comment>
    <comment authorId="0" ref="R536">
      <text>
        <t xml:space="preserve">MAX(0; pagado − cuota pactada). Exceso para revisar: no se traspasa a otra cuota.</t>
      </text>
    </comment>
    <comment authorId="0" ref="C8">
      <text>
        <t xml:space="preserve">Crédito al que corresponde esta cuota.</t>
      </text>
    </comment>
    <comment authorId="0" ref="S536">
      <text>
        <t xml:space="preserve">Pagada, Vencida, Vence hoy, Por vencer o Exceso sin imputar según fecha y saldo al corte.</t>
      </text>
    </comment>
    <comment authorId="0" ref="D8">
      <text>
        <t xml:space="preserve">Número de cuota dentro del crédito.</t>
      </text>
    </comment>
    <comment authorId="0" ref="T536">
      <text>
        <t xml:space="preserve">Auxiliar para encontrar la primera cuota pendiente. El 999999 indica que esta cuota no tiene saldo pendiente o está fuera del plazo, y no es una fecha real.</t>
      </text>
    </comment>
    <comment authorId="0" ref="E8">
      <text>
        <t xml:space="preserve">Fecha según EDATE a partir del primer vencimiento. No ajusta automáticamente feriados.</t>
      </text>
    </comment>
    <comment authorId="0" ref="F8">
      <text>
        <t xml:space="preserve">Capital al inicio del período en el calendario ORIGINAL, sin recalcular por pagos reales.</t>
      </text>
    </comment>
    <comment authorId="0" ref="G8">
      <text>
        <t xml:space="preserve">Tasa efectiva del mes según la base ingresada.</t>
      </text>
    </comment>
    <comment authorId="0" ref="H8">
      <text>
        <t xml:space="preserve">Interés del período = capital inicial × tasa mensual, redondeado a dos decimales.</t>
      </text>
    </comment>
    <comment authorId="0" ref="I8">
      <text>
        <t xml:space="preserve">Capital e interés pactados. La última cuota ajusta el saldo por redondeo.</t>
      </text>
    </comment>
    <comment authorId="0" ref="J8">
      <text>
        <t xml:space="preserve">Capital amortizado TEÓRICO = cuota base − interés, limitado al saldo.</t>
      </text>
    </comment>
    <comment authorId="0" ref="K8">
      <text>
        <t xml:space="preserve">Seguro y otros cargos fijos del mes.</t>
      </text>
    </comment>
    <comment authorId="0" ref="L8">
      <text>
        <t xml:space="preserve">Cuota base + cargos.</t>
      </text>
    </comment>
    <comment authorId="0" ref="M8">
      <text>
        <t xml:space="preserve">Capital final del calendario teórico. No equivale al saldo real si hay pagos parciales o atrasos.</t>
      </text>
    </comment>
    <comment authorId="0" ref="N8">
      <text>
        <t xml:space="preserve">Suma de pagos válidos del mismo ID y cuota con fecha igual o anterior al corte.</t>
      </text>
    </comment>
    <comment authorId="0" ref="O8">
      <text>
        <t xml:space="preserve">MIN(amortización pactada; MAX(0; pagado − cargos − interés)). No imputa excedentes a otras cuotas.</t>
      </text>
    </comment>
    <comment authorId="0" ref="P8">
      <text>
        <t xml:space="preserve">MAX(0; total pactado − pagado a esta cuota). Incluye capital, interés y cargos pendientes de ESA cuota.</t>
      </text>
    </comment>
    <comment authorId="0" ref="Q8">
      <text>
        <t xml:space="preserve">Días desde vencimiento hasta corte, solo si venció antes del corte y sigue con saldo.</t>
      </text>
    </comment>
    <comment authorId="0" ref="R8">
      <text>
        <t xml:space="preserve">MAX(0; pagado − cuota pactada). Exceso para revisar: no se traspasa a otra cuota.</t>
      </text>
    </comment>
    <comment authorId="0" ref="C537">
      <text>
        <t xml:space="preserve">Crédito al que corresponde esta cuota.</t>
      </text>
    </comment>
    <comment authorId="0" ref="S8">
      <text>
        <t xml:space="preserve">Pagada, Vencida, Vence hoy, Por vencer o Exceso sin imputar según fecha y saldo al corte.</t>
      </text>
    </comment>
    <comment authorId="0" ref="D537">
      <text>
        <t xml:space="preserve">Número de cuota dentro del crédito.</t>
      </text>
    </comment>
    <comment authorId="0" ref="T8">
      <text>
        <t xml:space="preserve">Auxiliar para encontrar la primera cuota pendiente. El 999999 indica que esta cuota no tiene saldo pendiente o está fuera del plazo, y no es una fecha real.</t>
      </text>
    </comment>
    <comment authorId="0" ref="E537">
      <text>
        <t xml:space="preserve">Fecha según EDATE a partir del primer vencimiento. No ajusta automáticamente feriados.</t>
      </text>
    </comment>
    <comment authorId="0" ref="F537">
      <text>
        <t xml:space="preserve">Capital al inicio del período en el calendario ORIGINAL, sin recalcular por pagos reales.</t>
      </text>
    </comment>
    <comment authorId="0" ref="G537">
      <text>
        <t xml:space="preserve">Tasa efectiva del mes según la base ingresada.</t>
      </text>
    </comment>
    <comment authorId="0" ref="H537">
      <text>
        <t xml:space="preserve">Interés del período = capital inicial × tasa mensual, redondeado a dos decimales.</t>
      </text>
    </comment>
    <comment authorId="0" ref="I537">
      <text>
        <t xml:space="preserve">Capital e interés pactados. La última cuota ajusta el saldo por redondeo.</t>
      </text>
    </comment>
    <comment authorId="0" ref="J537">
      <text>
        <t xml:space="preserve">Capital amortizado TEÓRICO = cuota base − interés, limitado al saldo.</t>
      </text>
    </comment>
    <comment authorId="0" ref="K537">
      <text>
        <t xml:space="preserve">Seguro y otros cargos fijos del mes.</t>
      </text>
    </comment>
    <comment authorId="0" ref="L537">
      <text>
        <t xml:space="preserve">Cuota base + cargos.</t>
      </text>
    </comment>
    <comment authorId="0" ref="M537">
      <text>
        <t xml:space="preserve">Capital final del calendario teórico. No equivale al saldo real si hay pagos parciales o atrasos.</t>
      </text>
    </comment>
    <comment authorId="0" ref="N537">
      <text>
        <t xml:space="preserve">Suma de pagos válidos del mismo ID y cuota con fecha igual o anterior al corte.</t>
      </text>
    </comment>
    <comment authorId="0" ref="O537">
      <text>
        <t xml:space="preserve">MIN(amortización pactada; MAX(0; pagado − cargos − interés)). No imputa excedentes a otras cuotas.</t>
      </text>
    </comment>
    <comment authorId="0" ref="P537">
      <text>
        <t xml:space="preserve">MAX(0; total pactado − pagado a esta cuota). Incluye capital, interés y cargos pendientes de ESA cuota.</t>
      </text>
    </comment>
    <comment authorId="0" ref="Q537">
      <text>
        <t xml:space="preserve">Días desde vencimiento hasta corte, solo si venció antes del corte y sigue con saldo.</t>
      </text>
    </comment>
    <comment authorId="0" ref="R537">
      <text>
        <t xml:space="preserve">MAX(0; pagado − cuota pactada). Exceso para revisar: no se traspasa a otra cuota.</t>
      </text>
    </comment>
    <comment authorId="0" ref="C9">
      <text>
        <t xml:space="preserve">Crédito al que corresponde esta cuota.</t>
      </text>
    </comment>
    <comment authorId="0" ref="S537">
      <text>
        <t xml:space="preserve">Pagada, Vencida, Vence hoy, Por vencer o Exceso sin imputar según fecha y saldo al corte.</t>
      </text>
    </comment>
    <comment authorId="0" ref="D9">
      <text>
        <t xml:space="preserve">Número de cuota dentro del crédito.</t>
      </text>
    </comment>
    <comment authorId="0" ref="T537">
      <text>
        <t xml:space="preserve">Auxiliar para encontrar la primera cuota pendiente. El 999999 indica que esta cuota no tiene saldo pendiente o está fuera del plazo, y no es una fecha real.</t>
      </text>
    </comment>
    <comment authorId="0" ref="E9">
      <text>
        <t xml:space="preserve">Fecha según EDATE a partir del primer vencimiento. No ajusta automáticamente feriados.</t>
      </text>
    </comment>
    <comment authorId="0" ref="F9">
      <text>
        <t xml:space="preserve">Capital al inicio del período en el calendario ORIGINAL, sin recalcular por pagos reales.</t>
      </text>
    </comment>
    <comment authorId="0" ref="G9">
      <text>
        <t xml:space="preserve">Tasa efectiva del mes según la base ingresada.</t>
      </text>
    </comment>
    <comment authorId="0" ref="H9">
      <text>
        <t xml:space="preserve">Interés del período = capital inicial × tasa mensual, redondeado a dos decimales.</t>
      </text>
    </comment>
    <comment authorId="0" ref="I9">
      <text>
        <t xml:space="preserve">Capital e interés pactados. La última cuota ajusta el saldo por redondeo.</t>
      </text>
    </comment>
    <comment authorId="0" ref="J9">
      <text>
        <t xml:space="preserve">Capital amortizado TEÓRICO = cuota base − interés, limitado al saldo.</t>
      </text>
    </comment>
    <comment authorId="0" ref="K9">
      <text>
        <t xml:space="preserve">Seguro y otros cargos fijos del mes.</t>
      </text>
    </comment>
    <comment authorId="0" ref="L9">
      <text>
        <t xml:space="preserve">Cuota base + cargos.</t>
      </text>
    </comment>
    <comment authorId="0" ref="M9">
      <text>
        <t xml:space="preserve">Capital final del calendario teórico. No equivale al saldo real si hay pagos parciales o atrasos.</t>
      </text>
    </comment>
    <comment authorId="0" ref="N9">
      <text>
        <t xml:space="preserve">Suma de pagos válidos del mismo ID y cuota con fecha igual o anterior al corte.</t>
      </text>
    </comment>
    <comment authorId="0" ref="O9">
      <text>
        <t xml:space="preserve">MIN(amortización pactada; MAX(0; pagado − cargos − interés)). No imputa excedentes a otras cuotas.</t>
      </text>
    </comment>
    <comment authorId="0" ref="P9">
      <text>
        <t xml:space="preserve">MAX(0; total pactado − pagado a esta cuota). Incluye capital, interés y cargos pendientes de ESA cuota.</t>
      </text>
    </comment>
    <comment authorId="0" ref="Q9">
      <text>
        <t xml:space="preserve">Días desde vencimiento hasta corte, solo si venció antes del corte y sigue con saldo.</t>
      </text>
    </comment>
    <comment authorId="0" ref="R9">
      <text>
        <t xml:space="preserve">MAX(0; pagado − cuota pactada). Exceso para revisar: no se traspasa a otra cuota.</t>
      </text>
    </comment>
    <comment authorId="0" ref="C538">
      <text>
        <t xml:space="preserve">Crédito al que corresponde esta cuota.</t>
      </text>
    </comment>
    <comment authorId="0" ref="S9">
      <text>
        <t xml:space="preserve">Pagada, Vencida, Vence hoy, Por vencer o Exceso sin imputar según fecha y saldo al corte.</t>
      </text>
    </comment>
    <comment authorId="0" ref="D538">
      <text>
        <t xml:space="preserve">Número de cuota dentro del crédito.</t>
      </text>
    </comment>
    <comment authorId="0" ref="T9">
      <text>
        <t xml:space="preserve">Auxiliar para encontrar la primera cuota pendiente. El 999999 indica que esta cuota no tiene saldo pendiente o está fuera del plazo, y no es una fecha real.</t>
      </text>
    </comment>
    <comment authorId="0" ref="E538">
      <text>
        <t xml:space="preserve">Fecha según EDATE a partir del primer vencimiento. No ajusta automáticamente feriados.</t>
      </text>
    </comment>
    <comment authorId="0" ref="F538">
      <text>
        <t xml:space="preserve">Capital al inicio del período en el calendario ORIGINAL, sin recalcular por pagos reales.</t>
      </text>
    </comment>
    <comment authorId="0" ref="G538">
      <text>
        <t xml:space="preserve">Tasa efectiva del mes según la base ingresada.</t>
      </text>
    </comment>
    <comment authorId="0" ref="H538">
      <text>
        <t xml:space="preserve">Interés del período = capital inicial × tasa mensual, redondeado a dos decimales.</t>
      </text>
    </comment>
    <comment authorId="0" ref="I538">
      <text>
        <t xml:space="preserve">Capital e interés pactados. La última cuota ajusta el saldo por redondeo.</t>
      </text>
    </comment>
    <comment authorId="0" ref="J538">
      <text>
        <t xml:space="preserve">Capital amortizado TEÓRICO = cuota base − interés, limitado al saldo.</t>
      </text>
    </comment>
    <comment authorId="0" ref="K538">
      <text>
        <t xml:space="preserve">Seguro y otros cargos fijos del mes.</t>
      </text>
    </comment>
    <comment authorId="0" ref="L538">
      <text>
        <t xml:space="preserve">Cuota base + cargos.</t>
      </text>
    </comment>
    <comment authorId="0" ref="M538">
      <text>
        <t xml:space="preserve">Capital final del calendario teórico. No equivale al saldo real si hay pagos parciales o atrasos.</t>
      </text>
    </comment>
    <comment authorId="0" ref="N538">
      <text>
        <t xml:space="preserve">Suma de pagos válidos del mismo ID y cuota con fecha igual o anterior al corte.</t>
      </text>
    </comment>
    <comment authorId="0" ref="O538">
      <text>
        <t xml:space="preserve">MIN(amortización pactada; MAX(0; pagado − cargos − interés)). No imputa excedentes a otras cuotas.</t>
      </text>
    </comment>
    <comment authorId="0" ref="P538">
      <text>
        <t xml:space="preserve">MAX(0; total pactado − pagado a esta cuota). Incluye capital, interés y cargos pendientes de ESA cuota.</t>
      </text>
    </comment>
    <comment authorId="0" ref="Q538">
      <text>
        <t xml:space="preserve">Días desde vencimiento hasta corte, solo si venció antes del corte y sigue con saldo.</t>
      </text>
    </comment>
    <comment authorId="0" ref="R538">
      <text>
        <t xml:space="preserve">MAX(0; pagado − cuota pactada). Exceso para revisar: no se traspasa a otra cuota.</t>
      </text>
    </comment>
    <comment authorId="0" ref="C10">
      <text>
        <t xml:space="preserve">Crédito al que corresponde esta cuota.</t>
      </text>
    </comment>
    <comment authorId="0" ref="S538">
      <text>
        <t xml:space="preserve">Pagada, Vencida, Vence hoy, Por vencer o Exceso sin imputar según fecha y saldo al corte.</t>
      </text>
    </comment>
    <comment authorId="0" ref="D10">
      <text>
        <t xml:space="preserve">Número de cuota dentro del crédito.</t>
      </text>
    </comment>
    <comment authorId="0" ref="T538">
      <text>
        <t xml:space="preserve">Auxiliar para encontrar la primera cuota pendiente. El 999999 indica que esta cuota no tiene saldo pendiente o está fuera del plazo, y no es una fecha real.</t>
      </text>
    </comment>
    <comment authorId="0" ref="E10">
      <text>
        <t xml:space="preserve">Fecha según EDATE a partir del primer vencimiento. No ajusta automáticamente feriados.</t>
      </text>
    </comment>
    <comment authorId="0" ref="F10">
      <text>
        <t xml:space="preserve">Capital al inicio del período en el calendario ORIGINAL, sin recalcular por pagos reales.</t>
      </text>
    </comment>
    <comment authorId="0" ref="G10">
      <text>
        <t xml:space="preserve">Tasa efectiva del mes según la base ingresada.</t>
      </text>
    </comment>
    <comment authorId="0" ref="H10">
      <text>
        <t xml:space="preserve">Interés del período = capital inicial × tasa mensual, redondeado a dos decimales.</t>
      </text>
    </comment>
    <comment authorId="0" ref="I10">
      <text>
        <t xml:space="preserve">Capital e interés pactados. La última cuota ajusta el saldo por redondeo.</t>
      </text>
    </comment>
    <comment authorId="0" ref="J10">
      <text>
        <t xml:space="preserve">Capital amortizado TEÓRICO = cuota base − interés, limitado al saldo.</t>
      </text>
    </comment>
    <comment authorId="0" ref="K10">
      <text>
        <t xml:space="preserve">Seguro y otros cargos fijos del mes.</t>
      </text>
    </comment>
    <comment authorId="0" ref="L10">
      <text>
        <t xml:space="preserve">Cuota base + cargos.</t>
      </text>
    </comment>
    <comment authorId="0" ref="M10">
      <text>
        <t xml:space="preserve">Capital final del calendario teórico. No equivale al saldo real si hay pagos parciales o atrasos.</t>
      </text>
    </comment>
    <comment authorId="0" ref="N10">
      <text>
        <t xml:space="preserve">Suma de pagos válidos del mismo ID y cuota con fecha igual o anterior al corte.</t>
      </text>
    </comment>
    <comment authorId="0" ref="O10">
      <text>
        <t xml:space="preserve">MIN(amortización pactada; MAX(0; pagado − cargos − interés)). No imputa excedentes a otras cuotas.</t>
      </text>
    </comment>
    <comment authorId="0" ref="P10">
      <text>
        <t xml:space="preserve">MAX(0; total pactado − pagado a esta cuota). Incluye capital, interés y cargos pendientes de ESA cuota.</t>
      </text>
    </comment>
    <comment authorId="0" ref="Q10">
      <text>
        <t xml:space="preserve">Días desde vencimiento hasta corte, solo si venció antes del corte y sigue con saldo.</t>
      </text>
    </comment>
    <comment authorId="0" ref="R10">
      <text>
        <t xml:space="preserve">MAX(0; pagado − cuota pactada). Exceso para revisar: no se traspasa a otra cuota.</t>
      </text>
    </comment>
    <comment authorId="0" ref="C539">
      <text>
        <t xml:space="preserve">Crédito al que corresponde esta cuota.</t>
      </text>
    </comment>
    <comment authorId="0" ref="S10">
      <text>
        <t xml:space="preserve">Pagada, Vencida, Vence hoy, Por vencer o Exceso sin imputar según fecha y saldo al corte.</t>
      </text>
    </comment>
    <comment authorId="0" ref="D539">
      <text>
        <t xml:space="preserve">Número de cuota dentro del crédito.</t>
      </text>
    </comment>
    <comment authorId="0" ref="T10">
      <text>
        <t xml:space="preserve">Auxiliar para encontrar la primera cuota pendiente. El 999999 indica que esta cuota no tiene saldo pendiente o está fuera del plazo, y no es una fecha real.</t>
      </text>
    </comment>
    <comment authorId="0" ref="E539">
      <text>
        <t xml:space="preserve">Fecha según EDATE a partir del primer vencimiento. No ajusta automáticamente feriados.</t>
      </text>
    </comment>
    <comment authorId="0" ref="F539">
      <text>
        <t xml:space="preserve">Capital al inicio del período en el calendario ORIGINAL, sin recalcular por pagos reales.</t>
      </text>
    </comment>
    <comment authorId="0" ref="G539">
      <text>
        <t xml:space="preserve">Tasa efectiva del mes según la base ingresada.</t>
      </text>
    </comment>
    <comment authorId="0" ref="H539">
      <text>
        <t xml:space="preserve">Interés del período = capital inicial × tasa mensual, redondeado a dos decimales.</t>
      </text>
    </comment>
    <comment authorId="0" ref="I539">
      <text>
        <t xml:space="preserve">Capital e interés pactados. La última cuota ajusta el saldo por redondeo.</t>
      </text>
    </comment>
    <comment authorId="0" ref="J539">
      <text>
        <t xml:space="preserve">Capital amortizado TEÓRICO = cuota base − interés, limitado al saldo.</t>
      </text>
    </comment>
    <comment authorId="0" ref="K539">
      <text>
        <t xml:space="preserve">Seguro y otros cargos fijos del mes.</t>
      </text>
    </comment>
    <comment authorId="0" ref="L539">
      <text>
        <t xml:space="preserve">Cuota base + cargos.</t>
      </text>
    </comment>
    <comment authorId="0" ref="M539">
      <text>
        <t xml:space="preserve">Capital final del calendario teórico. No equivale al saldo real si hay pagos parciales o atrasos.</t>
      </text>
    </comment>
    <comment authorId="0" ref="N539">
      <text>
        <t xml:space="preserve">Suma de pagos válidos del mismo ID y cuota con fecha igual o anterior al corte.</t>
      </text>
    </comment>
    <comment authorId="0" ref="O539">
      <text>
        <t xml:space="preserve">MIN(amortización pactada; MAX(0; pagado − cargos − interés)). No imputa excedentes a otras cuotas.</t>
      </text>
    </comment>
    <comment authorId="0" ref="P539">
      <text>
        <t xml:space="preserve">MAX(0; total pactado − pagado a esta cuota). Incluye capital, interés y cargos pendientes de ESA cuota.</t>
      </text>
    </comment>
    <comment authorId="0" ref="Q539">
      <text>
        <t xml:space="preserve">Días desde vencimiento hasta corte, solo si venció antes del corte y sigue con saldo.</t>
      </text>
    </comment>
    <comment authorId="0" ref="R539">
      <text>
        <t xml:space="preserve">MAX(0; pagado − cuota pactada). Exceso para revisar: no se traspasa a otra cuota.</t>
      </text>
    </comment>
    <comment authorId="0" ref="C11">
      <text>
        <t xml:space="preserve">Crédito al que corresponde esta cuota.</t>
      </text>
    </comment>
    <comment authorId="0" ref="S539">
      <text>
        <t xml:space="preserve">Pagada, Vencida, Vence hoy, Por vencer o Exceso sin imputar según fecha y saldo al corte.</t>
      </text>
    </comment>
    <comment authorId="0" ref="D11">
      <text>
        <t xml:space="preserve">Número de cuota dentro del crédito.</t>
      </text>
    </comment>
    <comment authorId="0" ref="T539">
      <text>
        <t xml:space="preserve">Auxiliar para encontrar la primera cuota pendiente. El 999999 indica que esta cuota no tiene saldo pendiente o está fuera del plazo, y no es una fecha real.</t>
      </text>
    </comment>
    <comment authorId="0" ref="E11">
      <text>
        <t xml:space="preserve">Fecha según EDATE a partir del primer vencimiento. No ajusta automáticamente feriados.</t>
      </text>
    </comment>
    <comment authorId="0" ref="F11">
      <text>
        <t xml:space="preserve">Capital al inicio del período en el calendario ORIGINAL, sin recalcular por pagos reales.</t>
      </text>
    </comment>
    <comment authorId="0" ref="G11">
      <text>
        <t xml:space="preserve">Tasa efectiva del mes según la base ingresada.</t>
      </text>
    </comment>
    <comment authorId="0" ref="H11">
      <text>
        <t xml:space="preserve">Interés del período = capital inicial × tasa mensual, redondeado a dos decimales.</t>
      </text>
    </comment>
    <comment authorId="0" ref="I11">
      <text>
        <t xml:space="preserve">Capital e interés pactados. La última cuota ajusta el saldo por redondeo.</t>
      </text>
    </comment>
    <comment authorId="0" ref="J11">
      <text>
        <t xml:space="preserve">Capital amortizado TEÓRICO = cuota base − interés, limitado al saldo.</t>
      </text>
    </comment>
    <comment authorId="0" ref="K11">
      <text>
        <t xml:space="preserve">Seguro y otros cargos fijos del mes.</t>
      </text>
    </comment>
    <comment authorId="0" ref="L11">
      <text>
        <t xml:space="preserve">Cuota base + cargos.</t>
      </text>
    </comment>
    <comment authorId="0" ref="M11">
      <text>
        <t xml:space="preserve">Capital final del calendario teórico. No equivale al saldo real si hay pagos parciales o atrasos.</t>
      </text>
    </comment>
    <comment authorId="0" ref="N11">
      <text>
        <t xml:space="preserve">Suma de pagos válidos del mismo ID y cuota con fecha igual o anterior al corte.</t>
      </text>
    </comment>
    <comment authorId="0" ref="O11">
      <text>
        <t xml:space="preserve">MIN(amortización pactada; MAX(0; pagado − cargos − interés)). No imputa excedentes a otras cuotas.</t>
      </text>
    </comment>
    <comment authorId="0" ref="P11">
      <text>
        <t xml:space="preserve">MAX(0; total pactado − pagado a esta cuota). Incluye capital, interés y cargos pendientes de ESA cuota.</t>
      </text>
    </comment>
    <comment authorId="0" ref="Q11">
      <text>
        <t xml:space="preserve">Días desde vencimiento hasta corte, solo si venció antes del corte y sigue con saldo.</t>
      </text>
    </comment>
    <comment authorId="0" ref="R11">
      <text>
        <t xml:space="preserve">MAX(0; pagado − cuota pactada). Exceso para revisar: no se traspasa a otra cuota.</t>
      </text>
    </comment>
    <comment authorId="0" ref="C540">
      <text>
        <t xml:space="preserve">Crédito al que corresponde esta cuota.</t>
      </text>
    </comment>
    <comment authorId="0" ref="S11">
      <text>
        <t xml:space="preserve">Pagada, Vencida, Vence hoy, Por vencer o Exceso sin imputar según fecha y saldo al corte.</t>
      </text>
    </comment>
    <comment authorId="0" ref="D540">
      <text>
        <t xml:space="preserve">Número de cuota dentro del crédito.</t>
      </text>
    </comment>
    <comment authorId="0" ref="T11">
      <text>
        <t xml:space="preserve">Auxiliar para encontrar la primera cuota pendiente. El 999999 indica que esta cuota no tiene saldo pendiente o está fuera del plazo, y no es una fecha real.</t>
      </text>
    </comment>
    <comment authorId="0" ref="E540">
      <text>
        <t xml:space="preserve">Fecha según EDATE a partir del primer vencimiento. No ajusta automáticamente feriados.</t>
      </text>
    </comment>
    <comment authorId="0" ref="F540">
      <text>
        <t xml:space="preserve">Capital al inicio del período en el calendario ORIGINAL, sin recalcular por pagos reales.</t>
      </text>
    </comment>
    <comment authorId="0" ref="G540">
      <text>
        <t xml:space="preserve">Tasa efectiva del mes según la base ingresada.</t>
      </text>
    </comment>
    <comment authorId="0" ref="H540">
      <text>
        <t xml:space="preserve">Interés del período = capital inicial × tasa mensual, redondeado a dos decimales.</t>
      </text>
    </comment>
    <comment authorId="0" ref="I540">
      <text>
        <t xml:space="preserve">Capital e interés pactados. La última cuota ajusta el saldo por redondeo.</t>
      </text>
    </comment>
    <comment authorId="0" ref="J540">
      <text>
        <t xml:space="preserve">Capital amortizado TEÓRICO = cuota base − interés, limitado al saldo.</t>
      </text>
    </comment>
    <comment authorId="0" ref="K540">
      <text>
        <t xml:space="preserve">Seguro y otros cargos fijos del mes.</t>
      </text>
    </comment>
    <comment authorId="0" ref="L540">
      <text>
        <t xml:space="preserve">Cuota base + cargos.</t>
      </text>
    </comment>
    <comment authorId="0" ref="M540">
      <text>
        <t xml:space="preserve">Capital final del calendario teórico. No equivale al saldo real si hay pagos parciales o atrasos.</t>
      </text>
    </comment>
    <comment authorId="0" ref="N540">
      <text>
        <t xml:space="preserve">Suma de pagos válidos del mismo ID y cuota con fecha igual o anterior al corte.</t>
      </text>
    </comment>
    <comment authorId="0" ref="O540">
      <text>
        <t xml:space="preserve">MIN(amortización pactada; MAX(0; pagado − cargos − interés)). No imputa excedentes a otras cuotas.</t>
      </text>
    </comment>
    <comment authorId="0" ref="P540">
      <text>
        <t xml:space="preserve">MAX(0; total pactado − pagado a esta cuota). Incluye capital, interés y cargos pendientes de ESA cuota.</t>
      </text>
    </comment>
    <comment authorId="0" ref="Q540">
      <text>
        <t xml:space="preserve">Días desde vencimiento hasta corte, solo si venció antes del corte y sigue con saldo.</t>
      </text>
    </comment>
    <comment authorId="0" ref="R540">
      <text>
        <t xml:space="preserve">MAX(0; pagado − cuota pactada). Exceso para revisar: no se traspasa a otra cuota.</t>
      </text>
    </comment>
    <comment authorId="0" ref="C12">
      <text>
        <t xml:space="preserve">Crédito al que corresponde esta cuota.</t>
      </text>
    </comment>
    <comment authorId="0" ref="S540">
      <text>
        <t xml:space="preserve">Pagada, Vencida, Vence hoy, Por vencer o Exceso sin imputar según fecha y saldo al corte.</t>
      </text>
    </comment>
    <comment authorId="0" ref="D12">
      <text>
        <t xml:space="preserve">Número de cuota dentro del crédito.</t>
      </text>
    </comment>
    <comment authorId="0" ref="T540">
      <text>
        <t xml:space="preserve">Auxiliar para encontrar la primera cuota pendiente. El 999999 indica que esta cuota no tiene saldo pendiente o está fuera del plazo, y no es una fecha real.</t>
      </text>
    </comment>
    <comment authorId="0" ref="E12">
      <text>
        <t xml:space="preserve">Fecha según EDATE a partir del primer vencimiento. No ajusta automáticamente feriados.</t>
      </text>
    </comment>
    <comment authorId="0" ref="F12">
      <text>
        <t xml:space="preserve">Capital al inicio del período en el calendario ORIGINAL, sin recalcular por pagos reales.</t>
      </text>
    </comment>
    <comment authorId="0" ref="G12">
      <text>
        <t xml:space="preserve">Tasa efectiva del mes según la base ingresada.</t>
      </text>
    </comment>
    <comment authorId="0" ref="H12">
      <text>
        <t xml:space="preserve">Interés del período = capital inicial × tasa mensual, redondeado a dos decimales.</t>
      </text>
    </comment>
    <comment authorId="0" ref="I12">
      <text>
        <t xml:space="preserve">Capital e interés pactados. La última cuota ajusta el saldo por redondeo.</t>
      </text>
    </comment>
    <comment authorId="0" ref="J12">
      <text>
        <t xml:space="preserve">Capital amortizado TEÓRICO = cuota base − interés, limitado al saldo.</t>
      </text>
    </comment>
    <comment authorId="0" ref="K12">
      <text>
        <t xml:space="preserve">Seguro y otros cargos fijos del mes.</t>
      </text>
    </comment>
    <comment authorId="0" ref="L12">
      <text>
        <t xml:space="preserve">Cuota base + cargos.</t>
      </text>
    </comment>
    <comment authorId="0" ref="M12">
      <text>
        <t xml:space="preserve">Capital final del calendario teórico. No equivale al saldo real si hay pagos parciales o atrasos.</t>
      </text>
    </comment>
    <comment authorId="0" ref="N12">
      <text>
        <t xml:space="preserve">Suma de pagos válidos del mismo ID y cuota con fecha igual o anterior al corte.</t>
      </text>
    </comment>
    <comment authorId="0" ref="O12">
      <text>
        <t xml:space="preserve">MIN(amortización pactada; MAX(0; pagado − cargos − interés)). No imputa excedentes a otras cuotas.</t>
      </text>
    </comment>
    <comment authorId="0" ref="P12">
      <text>
        <t xml:space="preserve">MAX(0; total pactado − pagado a esta cuota). Incluye capital, interés y cargos pendientes de ESA cuota.</t>
      </text>
    </comment>
    <comment authorId="0" ref="Q12">
      <text>
        <t xml:space="preserve">Días desde vencimiento hasta corte, solo si venció antes del corte y sigue con saldo.</t>
      </text>
    </comment>
    <comment authorId="0" ref="R12">
      <text>
        <t xml:space="preserve">MAX(0; pagado − cuota pactada). Exceso para revisar: no se traspasa a otra cuota.</t>
      </text>
    </comment>
    <comment authorId="0" ref="C541">
      <text>
        <t xml:space="preserve">Crédito al que corresponde esta cuota.</t>
      </text>
    </comment>
    <comment authorId="0" ref="S12">
      <text>
        <t xml:space="preserve">Pagada, Vencida, Vence hoy, Por vencer o Exceso sin imputar según fecha y saldo al corte.</t>
      </text>
    </comment>
    <comment authorId="0" ref="D541">
      <text>
        <t xml:space="preserve">Número de cuota dentro del crédito.</t>
      </text>
    </comment>
    <comment authorId="0" ref="T12">
      <text>
        <t xml:space="preserve">Auxiliar para encontrar la primera cuota pendiente. El 999999 indica que esta cuota no tiene saldo pendiente o está fuera del plazo, y no es una fecha real.</t>
      </text>
    </comment>
    <comment authorId="0" ref="E541">
      <text>
        <t xml:space="preserve">Fecha según EDATE a partir del primer vencimiento. No ajusta automáticamente feriados.</t>
      </text>
    </comment>
    <comment authorId="0" ref="F541">
      <text>
        <t xml:space="preserve">Capital al inicio del período en el calendario ORIGINAL, sin recalcular por pagos reales.</t>
      </text>
    </comment>
    <comment authorId="0" ref="G541">
      <text>
        <t xml:space="preserve">Tasa efectiva del mes según la base ingresada.</t>
      </text>
    </comment>
    <comment authorId="0" ref="H541">
      <text>
        <t xml:space="preserve">Interés del período = capital inicial × tasa mensual, redondeado a dos decimales.</t>
      </text>
    </comment>
    <comment authorId="0" ref="I541">
      <text>
        <t xml:space="preserve">Capital e interés pactados. La última cuota ajusta el saldo por redondeo.</t>
      </text>
    </comment>
    <comment authorId="0" ref="J541">
      <text>
        <t xml:space="preserve">Capital amortizado TEÓRICO = cuota base − interés, limitado al saldo.</t>
      </text>
    </comment>
    <comment authorId="0" ref="K541">
      <text>
        <t xml:space="preserve">Seguro y otros cargos fijos del mes.</t>
      </text>
    </comment>
    <comment authorId="0" ref="L541">
      <text>
        <t xml:space="preserve">Cuota base + cargos.</t>
      </text>
    </comment>
    <comment authorId="0" ref="M541">
      <text>
        <t xml:space="preserve">Capital final del calendario teórico. No equivale al saldo real si hay pagos parciales o atrasos.</t>
      </text>
    </comment>
    <comment authorId="0" ref="N541">
      <text>
        <t xml:space="preserve">Suma de pagos válidos del mismo ID y cuota con fecha igual o anterior al corte.</t>
      </text>
    </comment>
    <comment authorId="0" ref="O541">
      <text>
        <t xml:space="preserve">MIN(amortización pactada; MAX(0; pagado − cargos − interés)). No imputa excedentes a otras cuotas.</t>
      </text>
    </comment>
    <comment authorId="0" ref="P541">
      <text>
        <t xml:space="preserve">MAX(0; total pactado − pagado a esta cuota). Incluye capital, interés y cargos pendientes de ESA cuota.</t>
      </text>
    </comment>
    <comment authorId="0" ref="Q541">
      <text>
        <t xml:space="preserve">Días desde vencimiento hasta corte, solo si venció antes del corte y sigue con saldo.</t>
      </text>
    </comment>
    <comment authorId="0" ref="R541">
      <text>
        <t xml:space="preserve">MAX(0; pagado − cuota pactada). Exceso para revisar: no se traspasa a otra cuota.</t>
      </text>
    </comment>
    <comment authorId="0" ref="C13">
      <text>
        <t xml:space="preserve">Crédito al que corresponde esta cuota.</t>
      </text>
    </comment>
    <comment authorId="0" ref="S541">
      <text>
        <t xml:space="preserve">Pagada, Vencida, Vence hoy, Por vencer o Exceso sin imputar según fecha y saldo al corte.</t>
      </text>
    </comment>
    <comment authorId="0" ref="D13">
      <text>
        <t xml:space="preserve">Número de cuota dentro del crédito.</t>
      </text>
    </comment>
    <comment authorId="0" ref="T541">
      <text>
        <t xml:space="preserve">Auxiliar para encontrar la primera cuota pendiente. El 999999 indica que esta cuota no tiene saldo pendiente o está fuera del plazo, y no es una fecha real.</t>
      </text>
    </comment>
    <comment authorId="0" ref="E13">
      <text>
        <t xml:space="preserve">Fecha según EDATE a partir del primer vencimiento. No ajusta automáticamente feriados.</t>
      </text>
    </comment>
    <comment authorId="0" ref="F13">
      <text>
        <t xml:space="preserve">Capital al inicio del período en el calendario ORIGINAL, sin recalcular por pagos reales.</t>
      </text>
    </comment>
    <comment authorId="0" ref="G13">
      <text>
        <t xml:space="preserve">Tasa efectiva del mes según la base ingresada.</t>
      </text>
    </comment>
    <comment authorId="0" ref="H13">
      <text>
        <t xml:space="preserve">Interés del período = capital inicial × tasa mensual, redondeado a dos decimales.</t>
      </text>
    </comment>
    <comment authorId="0" ref="I13">
      <text>
        <t xml:space="preserve">Capital e interés pactados. La última cuota ajusta el saldo por redondeo.</t>
      </text>
    </comment>
    <comment authorId="0" ref="J13">
      <text>
        <t xml:space="preserve">Capital amortizado TEÓRICO = cuota base − interés, limitado al saldo.</t>
      </text>
    </comment>
    <comment authorId="0" ref="K13">
      <text>
        <t xml:space="preserve">Seguro y otros cargos fijos del mes.</t>
      </text>
    </comment>
    <comment authorId="0" ref="L13">
      <text>
        <t xml:space="preserve">Cuota base + cargos.</t>
      </text>
    </comment>
    <comment authorId="0" ref="M13">
      <text>
        <t xml:space="preserve">Capital final del calendario teórico. No equivale al saldo real si hay pagos parciales o atrasos.</t>
      </text>
    </comment>
    <comment authorId="0" ref="N13">
      <text>
        <t xml:space="preserve">Suma de pagos válidos del mismo ID y cuota con fecha igual o anterior al corte.</t>
      </text>
    </comment>
    <comment authorId="0" ref="O13">
      <text>
        <t xml:space="preserve">MIN(amortización pactada; MAX(0; pagado − cargos − interés)). No imputa excedentes a otras cuotas.</t>
      </text>
    </comment>
    <comment authorId="0" ref="P13">
      <text>
        <t xml:space="preserve">MAX(0; total pactado − pagado a esta cuota). Incluye capital, interés y cargos pendientes de ESA cuota.</t>
      </text>
    </comment>
    <comment authorId="0" ref="Q13">
      <text>
        <t xml:space="preserve">Días desde vencimiento hasta corte, solo si venció antes del corte y sigue con saldo.</t>
      </text>
    </comment>
    <comment authorId="0" ref="R13">
      <text>
        <t xml:space="preserve">MAX(0; pagado − cuota pactada). Exceso para revisar: no se traspasa a otra cuota.</t>
      </text>
    </comment>
    <comment authorId="0" ref="C542">
      <text>
        <t xml:space="preserve">Crédito al que corresponde esta cuota.</t>
      </text>
    </comment>
    <comment authorId="0" ref="S13">
      <text>
        <t xml:space="preserve">Pagada, Vencida, Vence hoy, Por vencer o Exceso sin imputar según fecha y saldo al corte.</t>
      </text>
    </comment>
    <comment authorId="0" ref="D542">
      <text>
        <t xml:space="preserve">Número de cuota dentro del crédito.</t>
      </text>
    </comment>
    <comment authorId="0" ref="T13">
      <text>
        <t xml:space="preserve">Auxiliar para encontrar la primera cuota pendiente. El 999999 indica que esta cuota no tiene saldo pendiente o está fuera del plazo, y no es una fecha real.</t>
      </text>
    </comment>
    <comment authorId="0" ref="E542">
      <text>
        <t xml:space="preserve">Fecha según EDATE a partir del primer vencimiento. No ajusta automáticamente feriados.</t>
      </text>
    </comment>
    <comment authorId="0" ref="F542">
      <text>
        <t xml:space="preserve">Capital al inicio del período en el calendario ORIGINAL, sin recalcular por pagos reales.</t>
      </text>
    </comment>
    <comment authorId="0" ref="G542">
      <text>
        <t xml:space="preserve">Tasa efectiva del mes según la base ingresada.</t>
      </text>
    </comment>
    <comment authorId="0" ref="H542">
      <text>
        <t xml:space="preserve">Interés del período = capital inicial × tasa mensual, redondeado a dos decimales.</t>
      </text>
    </comment>
    <comment authorId="0" ref="I542">
      <text>
        <t xml:space="preserve">Capital e interés pactados. La última cuota ajusta el saldo por redondeo.</t>
      </text>
    </comment>
    <comment authorId="0" ref="J542">
      <text>
        <t xml:space="preserve">Capital amortizado TEÓRICO = cuota base − interés, limitado al saldo.</t>
      </text>
    </comment>
    <comment authorId="0" ref="K542">
      <text>
        <t xml:space="preserve">Seguro y otros cargos fijos del mes.</t>
      </text>
    </comment>
    <comment authorId="0" ref="L542">
      <text>
        <t xml:space="preserve">Cuota base + cargos.</t>
      </text>
    </comment>
    <comment authorId="0" ref="M542">
      <text>
        <t xml:space="preserve">Capital final del calendario teórico. No equivale al saldo real si hay pagos parciales o atrasos.</t>
      </text>
    </comment>
    <comment authorId="0" ref="N542">
      <text>
        <t xml:space="preserve">Suma de pagos válidos del mismo ID y cuota con fecha igual o anterior al corte.</t>
      </text>
    </comment>
    <comment authorId="0" ref="O542">
      <text>
        <t xml:space="preserve">MIN(amortización pactada; MAX(0; pagado − cargos − interés)). No imputa excedentes a otras cuotas.</t>
      </text>
    </comment>
    <comment authorId="0" ref="P542">
      <text>
        <t xml:space="preserve">MAX(0; total pactado − pagado a esta cuota). Incluye capital, interés y cargos pendientes de ESA cuota.</t>
      </text>
    </comment>
    <comment authorId="0" ref="Q542">
      <text>
        <t xml:space="preserve">Días desde vencimiento hasta corte, solo si venció antes del corte y sigue con saldo.</t>
      </text>
    </comment>
    <comment authorId="0" ref="R542">
      <text>
        <t xml:space="preserve">MAX(0; pagado − cuota pactada). Exceso para revisar: no se traspasa a otra cuota.</t>
      </text>
    </comment>
    <comment authorId="0" ref="C14">
      <text>
        <t xml:space="preserve">Crédito al que corresponde esta cuota.</t>
      </text>
    </comment>
    <comment authorId="0" ref="S542">
      <text>
        <t xml:space="preserve">Pagada, Vencida, Vence hoy, Por vencer o Exceso sin imputar según fecha y saldo al corte.</t>
      </text>
    </comment>
    <comment authorId="0" ref="D14">
      <text>
        <t xml:space="preserve">Número de cuota dentro del crédito.</t>
      </text>
    </comment>
    <comment authorId="0" ref="T542">
      <text>
        <t xml:space="preserve">Auxiliar para encontrar la primera cuota pendiente. El 999999 indica que esta cuota no tiene saldo pendiente o está fuera del plazo, y no es una fecha real.</t>
      </text>
    </comment>
    <comment authorId="0" ref="E14">
      <text>
        <t xml:space="preserve">Fecha según EDATE a partir del primer vencimiento. No ajusta automáticamente feriados.</t>
      </text>
    </comment>
    <comment authorId="0" ref="F14">
      <text>
        <t xml:space="preserve">Capital al inicio del período en el calendario ORIGINAL, sin recalcular por pagos reales.</t>
      </text>
    </comment>
    <comment authorId="0" ref="G14">
      <text>
        <t xml:space="preserve">Tasa efectiva del mes según la base ingresada.</t>
      </text>
    </comment>
    <comment authorId="0" ref="H14">
      <text>
        <t xml:space="preserve">Interés del período = capital inicial × tasa mensual, redondeado a dos decimales.</t>
      </text>
    </comment>
    <comment authorId="0" ref="I14">
      <text>
        <t xml:space="preserve">Capital e interés pactados. La última cuota ajusta el saldo por redondeo.</t>
      </text>
    </comment>
    <comment authorId="0" ref="J14">
      <text>
        <t xml:space="preserve">Capital amortizado TEÓRICO = cuota base − interés, limitado al saldo.</t>
      </text>
    </comment>
    <comment authorId="0" ref="K14">
      <text>
        <t xml:space="preserve">Seguro y otros cargos fijos del mes.</t>
      </text>
    </comment>
    <comment authorId="0" ref="L14">
      <text>
        <t xml:space="preserve">Cuota base + cargos.</t>
      </text>
    </comment>
    <comment authorId="0" ref="M14">
      <text>
        <t xml:space="preserve">Capital final del calendario teórico. No equivale al saldo real si hay pagos parciales o atrasos.</t>
      </text>
    </comment>
    <comment authorId="0" ref="N14">
      <text>
        <t xml:space="preserve">Suma de pagos válidos del mismo ID y cuota con fecha igual o anterior al corte.</t>
      </text>
    </comment>
    <comment authorId="0" ref="O14">
      <text>
        <t xml:space="preserve">MIN(amortización pactada; MAX(0; pagado − cargos − interés)). No imputa excedentes a otras cuotas.</t>
      </text>
    </comment>
    <comment authorId="0" ref="P14">
      <text>
        <t xml:space="preserve">MAX(0; total pactado − pagado a esta cuota). Incluye capital, interés y cargos pendientes de ESA cuota.</t>
      </text>
    </comment>
    <comment authorId="0" ref="Q14">
      <text>
        <t xml:space="preserve">Días desde vencimiento hasta corte, solo si venció antes del corte y sigue con saldo.</t>
      </text>
    </comment>
    <comment authorId="0" ref="R14">
      <text>
        <t xml:space="preserve">MAX(0; pagado − cuota pactada). Exceso para revisar: no se traspasa a otra cuota.</t>
      </text>
    </comment>
    <comment authorId="0" ref="C543">
      <text>
        <t xml:space="preserve">Crédito al que corresponde esta cuota.</t>
      </text>
    </comment>
    <comment authorId="0" ref="S14">
      <text>
        <t xml:space="preserve">Pagada, Vencida, Vence hoy, Por vencer o Exceso sin imputar según fecha y saldo al corte.</t>
      </text>
    </comment>
    <comment authorId="0" ref="D543">
      <text>
        <t xml:space="preserve">Número de cuota dentro del crédito.</t>
      </text>
    </comment>
    <comment authorId="0" ref="T14">
      <text>
        <t xml:space="preserve">Auxiliar para encontrar la primera cuota pendiente. El 999999 indica que esta cuota no tiene saldo pendiente o está fuera del plazo, y no es una fecha real.</t>
      </text>
    </comment>
    <comment authorId="0" ref="E543">
      <text>
        <t xml:space="preserve">Fecha según EDATE a partir del primer vencimiento. No ajusta automáticamente feriados.</t>
      </text>
    </comment>
    <comment authorId="0" ref="F543">
      <text>
        <t xml:space="preserve">Capital al inicio del período en el calendario ORIGINAL, sin recalcular por pagos reales.</t>
      </text>
    </comment>
    <comment authorId="0" ref="G543">
      <text>
        <t xml:space="preserve">Tasa efectiva del mes según la base ingresada.</t>
      </text>
    </comment>
    <comment authorId="0" ref="H543">
      <text>
        <t xml:space="preserve">Interés del período = capital inicial × tasa mensual, redondeado a dos decimales.</t>
      </text>
    </comment>
    <comment authorId="0" ref="I543">
      <text>
        <t xml:space="preserve">Capital e interés pactados. La última cuota ajusta el saldo por redondeo.</t>
      </text>
    </comment>
    <comment authorId="0" ref="J543">
      <text>
        <t xml:space="preserve">Capital amortizado TEÓRICO = cuota base − interés, limitado al saldo.</t>
      </text>
    </comment>
    <comment authorId="0" ref="K543">
      <text>
        <t xml:space="preserve">Seguro y otros cargos fijos del mes.</t>
      </text>
    </comment>
    <comment authorId="0" ref="L543">
      <text>
        <t xml:space="preserve">Cuota base + cargos.</t>
      </text>
    </comment>
    <comment authorId="0" ref="M543">
      <text>
        <t xml:space="preserve">Capital final del calendario teórico. No equivale al saldo real si hay pagos parciales o atrasos.</t>
      </text>
    </comment>
    <comment authorId="0" ref="N543">
      <text>
        <t xml:space="preserve">Suma de pagos válidos del mismo ID y cuota con fecha igual o anterior al corte.</t>
      </text>
    </comment>
    <comment authorId="0" ref="O543">
      <text>
        <t xml:space="preserve">MIN(amortización pactada; MAX(0; pagado − cargos − interés)). No imputa excedentes a otras cuotas.</t>
      </text>
    </comment>
    <comment authorId="0" ref="P543">
      <text>
        <t xml:space="preserve">MAX(0; total pactado − pagado a esta cuota). Incluye capital, interés y cargos pendientes de ESA cuota.</t>
      </text>
    </comment>
    <comment authorId="0" ref="Q543">
      <text>
        <t xml:space="preserve">Días desde vencimiento hasta corte, solo si venció antes del corte y sigue con saldo.</t>
      </text>
    </comment>
    <comment authorId="0" ref="R543">
      <text>
        <t xml:space="preserve">MAX(0; pagado − cuota pactada). Exceso para revisar: no se traspasa a otra cuota.</t>
      </text>
    </comment>
    <comment authorId="0" ref="C15">
      <text>
        <t xml:space="preserve">Crédito al que corresponde esta cuota.</t>
      </text>
    </comment>
    <comment authorId="0" ref="S543">
      <text>
        <t xml:space="preserve">Pagada, Vencida, Vence hoy, Por vencer o Exceso sin imputar según fecha y saldo al corte.</t>
      </text>
    </comment>
    <comment authorId="0" ref="D15">
      <text>
        <t xml:space="preserve">Número de cuota dentro del crédito.</t>
      </text>
    </comment>
    <comment authorId="0" ref="T543">
      <text>
        <t xml:space="preserve">Auxiliar para encontrar la primera cuota pendiente. El 999999 indica que esta cuota no tiene saldo pendiente o está fuera del plazo, y no es una fecha real.</t>
      </text>
    </comment>
    <comment authorId="0" ref="E15">
      <text>
        <t xml:space="preserve">Fecha según EDATE a partir del primer vencimiento. No ajusta automáticamente feriados.</t>
      </text>
    </comment>
    <comment authorId="0" ref="F15">
      <text>
        <t xml:space="preserve">Capital al inicio del período en el calendario ORIGINAL, sin recalcular por pagos reales.</t>
      </text>
    </comment>
    <comment authorId="0" ref="G15">
      <text>
        <t xml:space="preserve">Tasa efectiva del mes según la base ingresada.</t>
      </text>
    </comment>
    <comment authorId="0" ref="H15">
      <text>
        <t xml:space="preserve">Interés del período = capital inicial × tasa mensual, redondeado a dos decimales.</t>
      </text>
    </comment>
    <comment authorId="0" ref="I15">
      <text>
        <t xml:space="preserve">Capital e interés pactados. La última cuota ajusta el saldo por redondeo.</t>
      </text>
    </comment>
    <comment authorId="0" ref="J15">
      <text>
        <t xml:space="preserve">Capital amortizado TEÓRICO = cuota base − interés, limitado al saldo.</t>
      </text>
    </comment>
    <comment authorId="0" ref="K15">
      <text>
        <t xml:space="preserve">Seguro y otros cargos fijos del mes.</t>
      </text>
    </comment>
    <comment authorId="0" ref="L15">
      <text>
        <t xml:space="preserve">Cuota base + cargos.</t>
      </text>
    </comment>
    <comment authorId="0" ref="M15">
      <text>
        <t xml:space="preserve">Capital final del calendario teórico. No equivale al saldo real si hay pagos parciales o atrasos.</t>
      </text>
    </comment>
    <comment authorId="0" ref="N15">
      <text>
        <t xml:space="preserve">Suma de pagos válidos del mismo ID y cuota con fecha igual o anterior al corte.</t>
      </text>
    </comment>
    <comment authorId="0" ref="O15">
      <text>
        <t xml:space="preserve">MIN(amortización pactada; MAX(0; pagado − cargos − interés)). No imputa excedentes a otras cuotas.</t>
      </text>
    </comment>
    <comment authorId="0" ref="P15">
      <text>
        <t xml:space="preserve">MAX(0; total pactado − pagado a esta cuota). Incluye capital, interés y cargos pendientes de ESA cuota.</t>
      </text>
    </comment>
    <comment authorId="0" ref="Q15">
      <text>
        <t xml:space="preserve">Días desde vencimiento hasta corte, solo si venció antes del corte y sigue con saldo.</t>
      </text>
    </comment>
    <comment authorId="0" ref="R15">
      <text>
        <t xml:space="preserve">MAX(0; pagado − cuota pactada). Exceso para revisar: no se traspasa a otra cuota.</t>
      </text>
    </comment>
    <comment authorId="0" ref="C544">
      <text>
        <t xml:space="preserve">Crédito al que corresponde esta cuota.</t>
      </text>
    </comment>
    <comment authorId="0" ref="S15">
      <text>
        <t xml:space="preserve">Pagada, Vencida, Vence hoy, Por vencer o Exceso sin imputar según fecha y saldo al corte.</t>
      </text>
    </comment>
    <comment authorId="0" ref="D544">
      <text>
        <t xml:space="preserve">Número de cuota dentro del crédito.</t>
      </text>
    </comment>
    <comment authorId="0" ref="T15">
      <text>
        <t xml:space="preserve">Auxiliar para encontrar la primera cuota pendiente. El 999999 indica que esta cuota no tiene saldo pendiente o está fuera del plazo, y no es una fecha real.</t>
      </text>
    </comment>
    <comment authorId="0" ref="E544">
      <text>
        <t xml:space="preserve">Fecha según EDATE a partir del primer vencimiento. No ajusta automáticamente feriados.</t>
      </text>
    </comment>
    <comment authorId="0" ref="F544">
      <text>
        <t xml:space="preserve">Capital al inicio del período en el calendario ORIGINAL, sin recalcular por pagos reales.</t>
      </text>
    </comment>
    <comment authorId="0" ref="G544">
      <text>
        <t xml:space="preserve">Tasa efectiva del mes según la base ingresada.</t>
      </text>
    </comment>
    <comment authorId="0" ref="H544">
      <text>
        <t xml:space="preserve">Interés del período = capital inicial × tasa mensual, redondeado a dos decimales.</t>
      </text>
    </comment>
    <comment authorId="0" ref="I544">
      <text>
        <t xml:space="preserve">Capital e interés pactados. La última cuota ajusta el saldo por redondeo.</t>
      </text>
    </comment>
    <comment authorId="0" ref="J544">
      <text>
        <t xml:space="preserve">Capital amortizado TEÓRICO = cuota base − interés, limitado al saldo.</t>
      </text>
    </comment>
    <comment authorId="0" ref="K544">
      <text>
        <t xml:space="preserve">Seguro y otros cargos fijos del mes.</t>
      </text>
    </comment>
    <comment authorId="0" ref="L544">
      <text>
        <t xml:space="preserve">Cuota base + cargos.</t>
      </text>
    </comment>
    <comment authorId="0" ref="M544">
      <text>
        <t xml:space="preserve">Capital final del calendario teórico. No equivale al saldo real si hay pagos parciales o atrasos.</t>
      </text>
    </comment>
    <comment authorId="0" ref="N544">
      <text>
        <t xml:space="preserve">Suma de pagos válidos del mismo ID y cuota con fecha igual o anterior al corte.</t>
      </text>
    </comment>
    <comment authorId="0" ref="O544">
      <text>
        <t xml:space="preserve">MIN(amortización pactada; MAX(0; pagado − cargos − interés)). No imputa excedentes a otras cuotas.</t>
      </text>
    </comment>
    <comment authorId="0" ref="P544">
      <text>
        <t xml:space="preserve">MAX(0; total pactado − pagado a esta cuota). Incluye capital, interés y cargos pendientes de ESA cuota.</t>
      </text>
    </comment>
    <comment authorId="0" ref="Q544">
      <text>
        <t xml:space="preserve">Días desde vencimiento hasta corte, solo si venció antes del corte y sigue con saldo.</t>
      </text>
    </comment>
    <comment authorId="0" ref="R544">
      <text>
        <t xml:space="preserve">MAX(0; pagado − cuota pactada). Exceso para revisar: no se traspasa a otra cuota.</t>
      </text>
    </comment>
    <comment authorId="0" ref="C16">
      <text>
        <t xml:space="preserve">Crédito al que corresponde esta cuota.</t>
      </text>
    </comment>
    <comment authorId="0" ref="S544">
      <text>
        <t xml:space="preserve">Pagada, Vencida, Vence hoy, Por vencer o Exceso sin imputar según fecha y saldo al corte.</t>
      </text>
    </comment>
    <comment authorId="0" ref="D16">
      <text>
        <t xml:space="preserve">Número de cuota dentro del crédito.</t>
      </text>
    </comment>
    <comment authorId="0" ref="T544">
      <text>
        <t xml:space="preserve">Auxiliar para encontrar la primera cuota pendiente. El 999999 indica que esta cuota no tiene saldo pendiente o está fuera del plazo, y no es una fecha real.</t>
      </text>
    </comment>
    <comment authorId="0" ref="E16">
      <text>
        <t xml:space="preserve">Fecha según EDATE a partir del primer vencimiento. No ajusta automáticamente feriados.</t>
      </text>
    </comment>
    <comment authorId="0" ref="F16">
      <text>
        <t xml:space="preserve">Capital al inicio del período en el calendario ORIGINAL, sin recalcular por pagos reales.</t>
      </text>
    </comment>
    <comment authorId="0" ref="G16">
      <text>
        <t xml:space="preserve">Tasa efectiva del mes según la base ingresada.</t>
      </text>
    </comment>
    <comment authorId="0" ref="H16">
      <text>
        <t xml:space="preserve">Interés del período = capital inicial × tasa mensual, redondeado a dos decimales.</t>
      </text>
    </comment>
    <comment authorId="0" ref="I16">
      <text>
        <t xml:space="preserve">Capital e interés pactados. La última cuota ajusta el saldo por redondeo.</t>
      </text>
    </comment>
    <comment authorId="0" ref="J16">
      <text>
        <t xml:space="preserve">Capital amortizado TEÓRICO = cuota base − interés, limitado al saldo.</t>
      </text>
    </comment>
    <comment authorId="0" ref="K16">
      <text>
        <t xml:space="preserve">Seguro y otros cargos fijos del mes.</t>
      </text>
    </comment>
    <comment authorId="0" ref="L16">
      <text>
        <t xml:space="preserve">Cuota base + cargos.</t>
      </text>
    </comment>
    <comment authorId="0" ref="M16">
      <text>
        <t xml:space="preserve">Capital final del calendario teórico. No equivale al saldo real si hay pagos parciales o atrasos.</t>
      </text>
    </comment>
    <comment authorId="0" ref="N16">
      <text>
        <t xml:space="preserve">Suma de pagos válidos del mismo ID y cuota con fecha igual o anterior al corte.</t>
      </text>
    </comment>
    <comment authorId="0" ref="O16">
      <text>
        <t xml:space="preserve">MIN(amortización pactada; MAX(0; pagado − cargos − interés)). No imputa excedentes a otras cuotas.</t>
      </text>
    </comment>
    <comment authorId="0" ref="P16">
      <text>
        <t xml:space="preserve">MAX(0; total pactado − pagado a esta cuota). Incluye capital, interés y cargos pendientes de ESA cuota.</t>
      </text>
    </comment>
    <comment authorId="0" ref="Q16">
      <text>
        <t xml:space="preserve">Días desde vencimiento hasta corte, solo si venció antes del corte y sigue con saldo.</t>
      </text>
    </comment>
    <comment authorId="0" ref="R16">
      <text>
        <t xml:space="preserve">MAX(0; pagado − cuota pactada). Exceso para revisar: no se traspasa a otra cuota.</t>
      </text>
    </comment>
    <comment authorId="0" ref="C545">
      <text>
        <t xml:space="preserve">Crédito al que corresponde esta cuota.</t>
      </text>
    </comment>
    <comment authorId="0" ref="S16">
      <text>
        <t xml:space="preserve">Pagada, Vencida, Vence hoy, Por vencer o Exceso sin imputar según fecha y saldo al corte.</t>
      </text>
    </comment>
    <comment authorId="0" ref="D545">
      <text>
        <t xml:space="preserve">Número de cuota dentro del crédito.</t>
      </text>
    </comment>
    <comment authorId="0" ref="T16">
      <text>
        <t xml:space="preserve">Auxiliar para encontrar la primera cuota pendiente. El 999999 indica que esta cuota no tiene saldo pendiente o está fuera del plazo, y no es una fecha real.</t>
      </text>
    </comment>
    <comment authorId="0" ref="E545">
      <text>
        <t xml:space="preserve">Fecha según EDATE a partir del primer vencimiento. No ajusta automáticamente feriados.</t>
      </text>
    </comment>
    <comment authorId="0" ref="F545">
      <text>
        <t xml:space="preserve">Capital al inicio del período en el calendario ORIGINAL, sin recalcular por pagos reales.</t>
      </text>
    </comment>
    <comment authorId="0" ref="G545">
      <text>
        <t xml:space="preserve">Tasa efectiva del mes según la base ingresada.</t>
      </text>
    </comment>
    <comment authorId="0" ref="H545">
      <text>
        <t xml:space="preserve">Interés del período = capital inicial × tasa mensual, redondeado a dos decimales.</t>
      </text>
    </comment>
    <comment authorId="0" ref="I545">
      <text>
        <t xml:space="preserve">Capital e interés pactados. La última cuota ajusta el saldo por redondeo.</t>
      </text>
    </comment>
    <comment authorId="0" ref="J545">
      <text>
        <t xml:space="preserve">Capital amortizado TEÓRICO = cuota base − interés, limitado al saldo.</t>
      </text>
    </comment>
    <comment authorId="0" ref="K545">
      <text>
        <t xml:space="preserve">Seguro y otros cargos fijos del mes.</t>
      </text>
    </comment>
    <comment authorId="0" ref="L545">
      <text>
        <t xml:space="preserve">Cuota base + cargos.</t>
      </text>
    </comment>
    <comment authorId="0" ref="M545">
      <text>
        <t xml:space="preserve">Capital final del calendario teórico. No equivale al saldo real si hay pagos parciales o atrasos.</t>
      </text>
    </comment>
    <comment authorId="0" ref="N545">
      <text>
        <t xml:space="preserve">Suma de pagos válidos del mismo ID y cuota con fecha igual o anterior al corte.</t>
      </text>
    </comment>
    <comment authorId="0" ref="O545">
      <text>
        <t xml:space="preserve">MIN(amortización pactada; MAX(0; pagado − cargos − interés)). No imputa excedentes a otras cuotas.</t>
      </text>
    </comment>
    <comment authorId="0" ref="P545">
      <text>
        <t xml:space="preserve">MAX(0; total pactado − pagado a esta cuota). Incluye capital, interés y cargos pendientes de ESA cuota.</t>
      </text>
    </comment>
    <comment authorId="0" ref="Q545">
      <text>
        <t xml:space="preserve">Días desde vencimiento hasta corte, solo si venció antes del corte y sigue con saldo.</t>
      </text>
    </comment>
    <comment authorId="0" ref="R545">
      <text>
        <t xml:space="preserve">MAX(0; pagado − cuota pactada). Exceso para revisar: no se traspasa a otra cuota.</t>
      </text>
    </comment>
    <comment authorId="0" ref="C17">
      <text>
        <t xml:space="preserve">Crédito al que corresponde esta cuota.</t>
      </text>
    </comment>
    <comment authorId="0" ref="S545">
      <text>
        <t xml:space="preserve">Pagada, Vencida, Vence hoy, Por vencer o Exceso sin imputar según fecha y saldo al corte.</t>
      </text>
    </comment>
    <comment authorId="0" ref="D17">
      <text>
        <t xml:space="preserve">Número de cuota dentro del crédito.</t>
      </text>
    </comment>
    <comment authorId="0" ref="T545">
      <text>
        <t xml:space="preserve">Auxiliar para encontrar la primera cuota pendiente. El 999999 indica que esta cuota no tiene saldo pendiente o está fuera del plazo, y no es una fecha real.</t>
      </text>
    </comment>
    <comment authorId="0" ref="E17">
      <text>
        <t xml:space="preserve">Fecha según EDATE a partir del primer vencimiento. No ajusta automáticamente feriados.</t>
      </text>
    </comment>
    <comment authorId="0" ref="F17">
      <text>
        <t xml:space="preserve">Capital al inicio del período en el calendario ORIGINAL, sin recalcular por pagos reales.</t>
      </text>
    </comment>
    <comment authorId="0" ref="G17">
      <text>
        <t xml:space="preserve">Tasa efectiva del mes según la base ingresada.</t>
      </text>
    </comment>
    <comment authorId="0" ref="H17">
      <text>
        <t xml:space="preserve">Interés del período = capital inicial × tasa mensual, redondeado a dos decimales.</t>
      </text>
    </comment>
    <comment authorId="0" ref="I17">
      <text>
        <t xml:space="preserve">Capital e interés pactados. La última cuota ajusta el saldo por redondeo.</t>
      </text>
    </comment>
    <comment authorId="0" ref="J17">
      <text>
        <t xml:space="preserve">Capital amortizado TEÓRICO = cuota base − interés, limitado al saldo.</t>
      </text>
    </comment>
    <comment authorId="0" ref="K17">
      <text>
        <t xml:space="preserve">Seguro y otros cargos fijos del mes.</t>
      </text>
    </comment>
    <comment authorId="0" ref="L17">
      <text>
        <t xml:space="preserve">Cuota base + cargos.</t>
      </text>
    </comment>
    <comment authorId="0" ref="M17">
      <text>
        <t xml:space="preserve">Capital final del calendario teórico. No equivale al saldo real si hay pagos parciales o atrasos.</t>
      </text>
    </comment>
    <comment authorId="0" ref="N17">
      <text>
        <t xml:space="preserve">Suma de pagos válidos del mismo ID y cuota con fecha igual o anterior al corte.</t>
      </text>
    </comment>
    <comment authorId="0" ref="O17">
      <text>
        <t xml:space="preserve">MIN(amortización pactada; MAX(0; pagado − cargos − interés)). No imputa excedentes a otras cuotas.</t>
      </text>
    </comment>
    <comment authorId="0" ref="P17">
      <text>
        <t xml:space="preserve">MAX(0; total pactado − pagado a esta cuota). Incluye capital, interés y cargos pendientes de ESA cuota.</t>
      </text>
    </comment>
    <comment authorId="0" ref="Q17">
      <text>
        <t xml:space="preserve">Días desde vencimiento hasta corte, solo si venció antes del corte y sigue con saldo.</t>
      </text>
    </comment>
    <comment authorId="0" ref="R17">
      <text>
        <t xml:space="preserve">MAX(0; pagado − cuota pactada). Exceso para revisar: no se traspasa a otra cuota.</t>
      </text>
    </comment>
    <comment authorId="0" ref="C546">
      <text>
        <t xml:space="preserve">Crédito al que corresponde esta cuota.</t>
      </text>
    </comment>
    <comment authorId="0" ref="S17">
      <text>
        <t xml:space="preserve">Pagada, Vencida, Vence hoy, Por vencer o Exceso sin imputar según fecha y saldo al corte.</t>
      </text>
    </comment>
    <comment authorId="0" ref="D546">
      <text>
        <t xml:space="preserve">Número de cuota dentro del crédito.</t>
      </text>
    </comment>
    <comment authorId="0" ref="T17">
      <text>
        <t xml:space="preserve">Auxiliar para encontrar la primera cuota pendiente. El 999999 indica que esta cuota no tiene saldo pendiente o está fuera del plazo, y no es una fecha real.</t>
      </text>
    </comment>
    <comment authorId="0" ref="E546">
      <text>
        <t xml:space="preserve">Fecha según EDATE a partir del primer vencimiento. No ajusta automáticamente feriados.</t>
      </text>
    </comment>
    <comment authorId="0" ref="F546">
      <text>
        <t xml:space="preserve">Capital al inicio del período en el calendario ORIGINAL, sin recalcular por pagos reales.</t>
      </text>
    </comment>
    <comment authorId="0" ref="G546">
      <text>
        <t xml:space="preserve">Tasa efectiva del mes según la base ingresada.</t>
      </text>
    </comment>
    <comment authorId="0" ref="H546">
      <text>
        <t xml:space="preserve">Interés del período = capital inicial × tasa mensual, redondeado a dos decimales.</t>
      </text>
    </comment>
    <comment authorId="0" ref="I546">
      <text>
        <t xml:space="preserve">Capital e interés pactados. La última cuota ajusta el saldo por redondeo.</t>
      </text>
    </comment>
    <comment authorId="0" ref="J546">
      <text>
        <t xml:space="preserve">Capital amortizado TEÓRICO = cuota base − interés, limitado al saldo.</t>
      </text>
    </comment>
    <comment authorId="0" ref="K546">
      <text>
        <t xml:space="preserve">Seguro y otros cargos fijos del mes.</t>
      </text>
    </comment>
    <comment authorId="0" ref="L546">
      <text>
        <t xml:space="preserve">Cuota base + cargos.</t>
      </text>
    </comment>
    <comment authorId="0" ref="M546">
      <text>
        <t xml:space="preserve">Capital final del calendario teórico. No equivale al saldo real si hay pagos parciales o atrasos.</t>
      </text>
    </comment>
    <comment authorId="0" ref="N546">
      <text>
        <t xml:space="preserve">Suma de pagos válidos del mismo ID y cuota con fecha igual o anterior al corte.</t>
      </text>
    </comment>
    <comment authorId="0" ref="O546">
      <text>
        <t xml:space="preserve">MIN(amortización pactada; MAX(0; pagado − cargos − interés)). No imputa excedentes a otras cuotas.</t>
      </text>
    </comment>
    <comment authorId="0" ref="P546">
      <text>
        <t xml:space="preserve">MAX(0; total pactado − pagado a esta cuota). Incluye capital, interés y cargos pendientes de ESA cuota.</t>
      </text>
    </comment>
    <comment authorId="0" ref="Q546">
      <text>
        <t xml:space="preserve">Días desde vencimiento hasta corte, solo si venció antes del corte y sigue con saldo.</t>
      </text>
    </comment>
    <comment authorId="0" ref="R546">
      <text>
        <t xml:space="preserve">MAX(0; pagado − cuota pactada). Exceso para revisar: no se traspasa a otra cuota.</t>
      </text>
    </comment>
    <comment authorId="0" ref="C18">
      <text>
        <t xml:space="preserve">Crédito al que corresponde esta cuota.</t>
      </text>
    </comment>
    <comment authorId="0" ref="S546">
      <text>
        <t xml:space="preserve">Pagada, Vencida, Vence hoy, Por vencer o Exceso sin imputar según fecha y saldo al corte.</t>
      </text>
    </comment>
    <comment authorId="0" ref="D18">
      <text>
        <t xml:space="preserve">Número de cuota dentro del crédito.</t>
      </text>
    </comment>
    <comment authorId="0" ref="T546">
      <text>
        <t xml:space="preserve">Auxiliar para encontrar la primera cuota pendiente. El 999999 indica que esta cuota no tiene saldo pendiente o está fuera del plazo, y no es una fecha real.</t>
      </text>
    </comment>
    <comment authorId="0" ref="E18">
      <text>
        <t xml:space="preserve">Fecha según EDATE a partir del primer vencimiento. No ajusta automáticamente feriados.</t>
      </text>
    </comment>
    <comment authorId="0" ref="F18">
      <text>
        <t xml:space="preserve">Capital al inicio del período en el calendario ORIGINAL, sin recalcular por pagos reales.</t>
      </text>
    </comment>
    <comment authorId="0" ref="G18">
      <text>
        <t xml:space="preserve">Tasa efectiva del mes según la base ingresada.</t>
      </text>
    </comment>
    <comment authorId="0" ref="H18">
      <text>
        <t xml:space="preserve">Interés del período = capital inicial × tasa mensual, redondeado a dos decimales.</t>
      </text>
    </comment>
    <comment authorId="0" ref="I18">
      <text>
        <t xml:space="preserve">Capital e interés pactados. La última cuota ajusta el saldo por redondeo.</t>
      </text>
    </comment>
    <comment authorId="0" ref="J18">
      <text>
        <t xml:space="preserve">Capital amortizado TEÓRICO = cuota base − interés, limitado al saldo.</t>
      </text>
    </comment>
    <comment authorId="0" ref="K18">
      <text>
        <t xml:space="preserve">Seguro y otros cargos fijos del mes.</t>
      </text>
    </comment>
    <comment authorId="0" ref="L18">
      <text>
        <t xml:space="preserve">Cuota base + cargos.</t>
      </text>
    </comment>
    <comment authorId="0" ref="M18">
      <text>
        <t xml:space="preserve">Capital final del calendario teórico. No equivale al saldo real si hay pagos parciales o atrasos.</t>
      </text>
    </comment>
    <comment authorId="0" ref="N18">
      <text>
        <t xml:space="preserve">Suma de pagos válidos del mismo ID y cuota con fecha igual o anterior al corte.</t>
      </text>
    </comment>
    <comment authorId="0" ref="O18">
      <text>
        <t xml:space="preserve">MIN(amortización pactada; MAX(0; pagado − cargos − interés)). No imputa excedentes a otras cuotas.</t>
      </text>
    </comment>
    <comment authorId="0" ref="P18">
      <text>
        <t xml:space="preserve">MAX(0; total pactado − pagado a esta cuota). Incluye capital, interés y cargos pendientes de ESA cuota.</t>
      </text>
    </comment>
    <comment authorId="0" ref="Q18">
      <text>
        <t xml:space="preserve">Días desde vencimiento hasta corte, solo si venció antes del corte y sigue con saldo.</t>
      </text>
    </comment>
    <comment authorId="0" ref="R18">
      <text>
        <t xml:space="preserve">MAX(0; pagado − cuota pactada). Exceso para revisar: no se traspasa a otra cuota.</t>
      </text>
    </comment>
    <comment authorId="0" ref="C547">
      <text>
        <t xml:space="preserve">Crédito al que corresponde esta cuota.</t>
      </text>
    </comment>
    <comment authorId="0" ref="S18">
      <text>
        <t xml:space="preserve">Pagada, Vencida, Vence hoy, Por vencer o Exceso sin imputar según fecha y saldo al corte.</t>
      </text>
    </comment>
    <comment authorId="0" ref="D547">
      <text>
        <t xml:space="preserve">Número de cuota dentro del crédito.</t>
      </text>
    </comment>
    <comment authorId="0" ref="T18">
      <text>
        <t xml:space="preserve">Auxiliar para encontrar la primera cuota pendiente. El 999999 indica que esta cuota no tiene saldo pendiente o está fuera del plazo, y no es una fecha real.</t>
      </text>
    </comment>
    <comment authorId="0" ref="E547">
      <text>
        <t xml:space="preserve">Fecha según EDATE a partir del primer vencimiento. No ajusta automáticamente feriados.</t>
      </text>
    </comment>
    <comment authorId="0" ref="F547">
      <text>
        <t xml:space="preserve">Capital al inicio del período en el calendario ORIGINAL, sin recalcular por pagos reales.</t>
      </text>
    </comment>
    <comment authorId="0" ref="G547">
      <text>
        <t xml:space="preserve">Tasa efectiva del mes según la base ingresada.</t>
      </text>
    </comment>
    <comment authorId="0" ref="H547">
      <text>
        <t xml:space="preserve">Interés del período = capital inicial × tasa mensual, redondeado a dos decimales.</t>
      </text>
    </comment>
    <comment authorId="0" ref="I547">
      <text>
        <t xml:space="preserve">Capital e interés pactados. La última cuota ajusta el saldo por redondeo.</t>
      </text>
    </comment>
    <comment authorId="0" ref="J547">
      <text>
        <t xml:space="preserve">Capital amortizado TEÓRICO = cuota base − interés, limitado al saldo.</t>
      </text>
    </comment>
    <comment authorId="0" ref="K547">
      <text>
        <t xml:space="preserve">Seguro y otros cargos fijos del mes.</t>
      </text>
    </comment>
    <comment authorId="0" ref="L547">
      <text>
        <t xml:space="preserve">Cuota base + cargos.</t>
      </text>
    </comment>
    <comment authorId="0" ref="M547">
      <text>
        <t xml:space="preserve">Capital final del calendario teórico. No equivale al saldo real si hay pagos parciales o atrasos.</t>
      </text>
    </comment>
    <comment authorId="0" ref="N547">
      <text>
        <t xml:space="preserve">Suma de pagos válidos del mismo ID y cuota con fecha igual o anterior al corte.</t>
      </text>
    </comment>
    <comment authorId="0" ref="O547">
      <text>
        <t xml:space="preserve">MIN(amortización pactada; MAX(0; pagado − cargos − interés)). No imputa excedentes a otras cuotas.</t>
      </text>
    </comment>
    <comment authorId="0" ref="P547">
      <text>
        <t xml:space="preserve">MAX(0; total pactado − pagado a esta cuota). Incluye capital, interés y cargos pendientes de ESA cuota.</t>
      </text>
    </comment>
    <comment authorId="0" ref="Q547">
      <text>
        <t xml:space="preserve">Días desde vencimiento hasta corte, solo si venció antes del corte y sigue con saldo.</t>
      </text>
    </comment>
    <comment authorId="0" ref="R547">
      <text>
        <t xml:space="preserve">MAX(0; pagado − cuota pactada). Exceso para revisar: no se traspasa a otra cuota.</t>
      </text>
    </comment>
    <comment authorId="0" ref="C19">
      <text>
        <t xml:space="preserve">Crédito al que corresponde esta cuota.</t>
      </text>
    </comment>
    <comment authorId="0" ref="S547">
      <text>
        <t xml:space="preserve">Pagada, Vencida, Vence hoy, Por vencer o Exceso sin imputar según fecha y saldo al corte.</t>
      </text>
    </comment>
    <comment authorId="0" ref="D19">
      <text>
        <t xml:space="preserve">Número de cuota dentro del crédito.</t>
      </text>
    </comment>
    <comment authorId="0" ref="T547">
      <text>
        <t xml:space="preserve">Auxiliar para encontrar la primera cuota pendiente. El 999999 indica que esta cuota no tiene saldo pendiente o está fuera del plazo, y no es una fecha real.</t>
      </text>
    </comment>
    <comment authorId="0" ref="E19">
      <text>
        <t xml:space="preserve">Fecha según EDATE a partir del primer vencimiento. No ajusta automáticamente feriados.</t>
      </text>
    </comment>
    <comment authorId="0" ref="F19">
      <text>
        <t xml:space="preserve">Capital al inicio del período en el calendario ORIGINAL, sin recalcular por pagos reales.</t>
      </text>
    </comment>
    <comment authorId="0" ref="G19">
      <text>
        <t xml:space="preserve">Tasa efectiva del mes según la base ingresada.</t>
      </text>
    </comment>
    <comment authorId="0" ref="H19">
      <text>
        <t xml:space="preserve">Interés del período = capital inicial × tasa mensual, redondeado a dos decimales.</t>
      </text>
    </comment>
    <comment authorId="0" ref="I19">
      <text>
        <t xml:space="preserve">Capital e interés pactados. La última cuota ajusta el saldo por redondeo.</t>
      </text>
    </comment>
    <comment authorId="0" ref="J19">
      <text>
        <t xml:space="preserve">Capital amortizado TEÓRICO = cuota base − interés, limitado al saldo.</t>
      </text>
    </comment>
    <comment authorId="0" ref="K19">
      <text>
        <t xml:space="preserve">Seguro y otros cargos fijos del mes.</t>
      </text>
    </comment>
    <comment authorId="0" ref="L19">
      <text>
        <t xml:space="preserve">Cuota base + cargos.</t>
      </text>
    </comment>
    <comment authorId="0" ref="M19">
      <text>
        <t xml:space="preserve">Capital final del calendario teórico. No equivale al saldo real si hay pagos parciales o atrasos.</t>
      </text>
    </comment>
    <comment authorId="0" ref="N19">
      <text>
        <t xml:space="preserve">Suma de pagos válidos del mismo ID y cuota con fecha igual o anterior al corte.</t>
      </text>
    </comment>
    <comment authorId="0" ref="O19">
      <text>
        <t xml:space="preserve">MIN(amortización pactada; MAX(0; pagado − cargos − interés)). No imputa excedentes a otras cuotas.</t>
      </text>
    </comment>
    <comment authorId="0" ref="P19">
      <text>
        <t xml:space="preserve">MAX(0; total pactado − pagado a esta cuota). Incluye capital, interés y cargos pendientes de ESA cuota.</t>
      </text>
    </comment>
    <comment authorId="0" ref="Q19">
      <text>
        <t xml:space="preserve">Días desde vencimiento hasta corte, solo si venció antes del corte y sigue con saldo.</t>
      </text>
    </comment>
    <comment authorId="0" ref="R19">
      <text>
        <t xml:space="preserve">MAX(0; pagado − cuota pactada). Exceso para revisar: no se traspasa a otra cuota.</t>
      </text>
    </comment>
    <comment authorId="0" ref="C548">
      <text>
        <t xml:space="preserve">Crédito al que corresponde esta cuota.</t>
      </text>
    </comment>
    <comment authorId="0" ref="S19">
      <text>
        <t xml:space="preserve">Pagada, Vencida, Vence hoy, Por vencer o Exceso sin imputar según fecha y saldo al corte.</t>
      </text>
    </comment>
    <comment authorId="0" ref="D548">
      <text>
        <t xml:space="preserve">Número de cuota dentro del crédito.</t>
      </text>
    </comment>
    <comment authorId="0" ref="T19">
      <text>
        <t xml:space="preserve">Auxiliar para encontrar la primera cuota pendiente. El 999999 indica que esta cuota no tiene saldo pendiente o está fuera del plazo, y no es una fecha real.</t>
      </text>
    </comment>
    <comment authorId="0" ref="E548">
      <text>
        <t xml:space="preserve">Fecha según EDATE a partir del primer vencimiento. No ajusta automáticamente feriados.</t>
      </text>
    </comment>
    <comment authorId="0" ref="F548">
      <text>
        <t xml:space="preserve">Capital al inicio del período en el calendario ORIGINAL, sin recalcular por pagos reales.</t>
      </text>
    </comment>
    <comment authorId="0" ref="G548">
      <text>
        <t xml:space="preserve">Tasa efectiva del mes según la base ingresada.</t>
      </text>
    </comment>
    <comment authorId="0" ref="H548">
      <text>
        <t xml:space="preserve">Interés del período = capital inicial × tasa mensual, redondeado a dos decimales.</t>
      </text>
    </comment>
    <comment authorId="0" ref="I548">
      <text>
        <t xml:space="preserve">Capital e interés pactados. La última cuota ajusta el saldo por redondeo.</t>
      </text>
    </comment>
    <comment authorId="0" ref="J548">
      <text>
        <t xml:space="preserve">Capital amortizado TEÓRICO = cuota base − interés, limitado al saldo.</t>
      </text>
    </comment>
    <comment authorId="0" ref="K548">
      <text>
        <t xml:space="preserve">Seguro y otros cargos fijos del mes.</t>
      </text>
    </comment>
    <comment authorId="0" ref="L548">
      <text>
        <t xml:space="preserve">Cuota base + cargos.</t>
      </text>
    </comment>
    <comment authorId="0" ref="M548">
      <text>
        <t xml:space="preserve">Capital final del calendario teórico. No equivale al saldo real si hay pagos parciales o atrasos.</t>
      </text>
    </comment>
    <comment authorId="0" ref="N548">
      <text>
        <t xml:space="preserve">Suma de pagos válidos del mismo ID y cuota con fecha igual o anterior al corte.</t>
      </text>
    </comment>
    <comment authorId="0" ref="O548">
      <text>
        <t xml:space="preserve">MIN(amortización pactada; MAX(0; pagado − cargos − interés)). No imputa excedentes a otras cuotas.</t>
      </text>
    </comment>
    <comment authorId="0" ref="P548">
      <text>
        <t xml:space="preserve">MAX(0; total pactado − pagado a esta cuota). Incluye capital, interés y cargos pendientes de ESA cuota.</t>
      </text>
    </comment>
    <comment authorId="0" ref="Q548">
      <text>
        <t xml:space="preserve">Días desde vencimiento hasta corte, solo si venció antes del corte y sigue con saldo.</t>
      </text>
    </comment>
    <comment authorId="0" ref="R548">
      <text>
        <t xml:space="preserve">MAX(0; pagado − cuota pactada). Exceso para revisar: no se traspasa a otra cuota.</t>
      </text>
    </comment>
    <comment authorId="0" ref="C20">
      <text>
        <t xml:space="preserve">Crédito al que corresponde esta cuota.</t>
      </text>
    </comment>
    <comment authorId="0" ref="S548">
      <text>
        <t xml:space="preserve">Pagada, Vencida, Vence hoy, Por vencer o Exceso sin imputar según fecha y saldo al corte.</t>
      </text>
    </comment>
    <comment authorId="0" ref="D20">
      <text>
        <t xml:space="preserve">Número de cuota dentro del crédito.</t>
      </text>
    </comment>
    <comment authorId="0" ref="T548">
      <text>
        <t xml:space="preserve">Auxiliar para encontrar la primera cuota pendiente. El 999999 indica que esta cuota no tiene saldo pendiente o está fuera del plazo, y no es una fecha real.</t>
      </text>
    </comment>
    <comment authorId="0" ref="E20">
      <text>
        <t xml:space="preserve">Fecha según EDATE a partir del primer vencimiento. No ajusta automáticamente feriados.</t>
      </text>
    </comment>
    <comment authorId="0" ref="F20">
      <text>
        <t xml:space="preserve">Capital al inicio del período en el calendario ORIGINAL, sin recalcular por pagos reales.</t>
      </text>
    </comment>
    <comment authorId="0" ref="G20">
      <text>
        <t xml:space="preserve">Tasa efectiva del mes según la base ingresada.</t>
      </text>
    </comment>
    <comment authorId="0" ref="H20">
      <text>
        <t xml:space="preserve">Interés del período = capital inicial × tasa mensual, redondeado a dos decimales.</t>
      </text>
    </comment>
    <comment authorId="0" ref="I20">
      <text>
        <t xml:space="preserve">Capital e interés pactados. La última cuota ajusta el saldo por redondeo.</t>
      </text>
    </comment>
    <comment authorId="0" ref="J20">
      <text>
        <t xml:space="preserve">Capital amortizado TEÓRICO = cuota base − interés, limitado al saldo.</t>
      </text>
    </comment>
    <comment authorId="0" ref="K20">
      <text>
        <t xml:space="preserve">Seguro y otros cargos fijos del mes.</t>
      </text>
    </comment>
    <comment authorId="0" ref="L20">
      <text>
        <t xml:space="preserve">Cuota base + cargos.</t>
      </text>
    </comment>
    <comment authorId="0" ref="M20">
      <text>
        <t xml:space="preserve">Capital final del calendario teórico. No equivale al saldo real si hay pagos parciales o atrasos.</t>
      </text>
    </comment>
    <comment authorId="0" ref="N20">
      <text>
        <t xml:space="preserve">Suma de pagos válidos del mismo ID y cuota con fecha igual o anterior al corte.</t>
      </text>
    </comment>
    <comment authorId="0" ref="O20">
      <text>
        <t xml:space="preserve">MIN(amortización pactada; MAX(0; pagado − cargos − interés)). No imputa excedentes a otras cuotas.</t>
      </text>
    </comment>
    <comment authorId="0" ref="P20">
      <text>
        <t xml:space="preserve">MAX(0; total pactado − pagado a esta cuota). Incluye capital, interés y cargos pendientes de ESA cuota.</t>
      </text>
    </comment>
    <comment authorId="0" ref="Q20">
      <text>
        <t xml:space="preserve">Días desde vencimiento hasta corte, solo si venció antes del corte y sigue con saldo.</t>
      </text>
    </comment>
    <comment authorId="0" ref="R20">
      <text>
        <t xml:space="preserve">MAX(0; pagado − cuota pactada). Exceso para revisar: no se traspasa a otra cuota.</t>
      </text>
    </comment>
    <comment authorId="0" ref="C549">
      <text>
        <t xml:space="preserve">Crédito al que corresponde esta cuota.</t>
      </text>
    </comment>
    <comment authorId="0" ref="S20">
      <text>
        <t xml:space="preserve">Pagada, Vencida, Vence hoy, Por vencer o Exceso sin imputar según fecha y saldo al corte.</t>
      </text>
    </comment>
    <comment authorId="0" ref="D549">
      <text>
        <t xml:space="preserve">Número de cuota dentro del crédito.</t>
      </text>
    </comment>
    <comment authorId="0" ref="T20">
      <text>
        <t xml:space="preserve">Auxiliar para encontrar la primera cuota pendiente. El 999999 indica que esta cuota no tiene saldo pendiente o está fuera del plazo, y no es una fecha real.</t>
      </text>
    </comment>
    <comment authorId="0" ref="E549">
      <text>
        <t xml:space="preserve">Fecha según EDATE a partir del primer vencimiento. No ajusta automáticamente feriados.</t>
      </text>
    </comment>
    <comment authorId="0" ref="F549">
      <text>
        <t xml:space="preserve">Capital al inicio del período en el calendario ORIGINAL, sin recalcular por pagos reales.</t>
      </text>
    </comment>
    <comment authorId="0" ref="G549">
      <text>
        <t xml:space="preserve">Tasa efectiva del mes según la base ingresada.</t>
      </text>
    </comment>
    <comment authorId="0" ref="H549">
      <text>
        <t xml:space="preserve">Interés del período = capital inicial × tasa mensual, redondeado a dos decimales.</t>
      </text>
    </comment>
    <comment authorId="0" ref="I549">
      <text>
        <t xml:space="preserve">Capital e interés pactados. La última cuota ajusta el saldo por redondeo.</t>
      </text>
    </comment>
    <comment authorId="0" ref="J549">
      <text>
        <t xml:space="preserve">Capital amortizado TEÓRICO = cuota base − interés, limitado al saldo.</t>
      </text>
    </comment>
    <comment authorId="0" ref="K549">
      <text>
        <t xml:space="preserve">Seguro y otros cargos fijos del mes.</t>
      </text>
    </comment>
    <comment authorId="0" ref="L549">
      <text>
        <t xml:space="preserve">Cuota base + cargos.</t>
      </text>
    </comment>
    <comment authorId="0" ref="M549">
      <text>
        <t xml:space="preserve">Capital final del calendario teórico. No equivale al saldo real si hay pagos parciales o atrasos.</t>
      </text>
    </comment>
    <comment authorId="0" ref="N549">
      <text>
        <t xml:space="preserve">Suma de pagos válidos del mismo ID y cuota con fecha igual o anterior al corte.</t>
      </text>
    </comment>
    <comment authorId="0" ref="O549">
      <text>
        <t xml:space="preserve">MIN(amortización pactada; MAX(0; pagado − cargos − interés)). No imputa excedentes a otras cuotas.</t>
      </text>
    </comment>
    <comment authorId="0" ref="P549">
      <text>
        <t xml:space="preserve">MAX(0; total pactado − pagado a esta cuota). Incluye capital, interés y cargos pendientes de ESA cuota.</t>
      </text>
    </comment>
    <comment authorId="0" ref="Q549">
      <text>
        <t xml:space="preserve">Días desde vencimiento hasta corte, solo si venció antes del corte y sigue con saldo.</t>
      </text>
    </comment>
    <comment authorId="0" ref="R549">
      <text>
        <t xml:space="preserve">MAX(0; pagado − cuota pactada). Exceso para revisar: no se traspasa a otra cuota.</t>
      </text>
    </comment>
    <comment authorId="0" ref="C21">
      <text>
        <t xml:space="preserve">Crédito al que corresponde esta cuota.</t>
      </text>
    </comment>
    <comment authorId="0" ref="S549">
      <text>
        <t xml:space="preserve">Pagada, Vencida, Vence hoy, Por vencer o Exceso sin imputar según fecha y saldo al corte.</t>
      </text>
    </comment>
    <comment authorId="0" ref="D21">
      <text>
        <t xml:space="preserve">Número de cuota dentro del crédito.</t>
      </text>
    </comment>
    <comment authorId="0" ref="T549">
      <text>
        <t xml:space="preserve">Auxiliar para encontrar la primera cuota pendiente. El 999999 indica que esta cuota no tiene saldo pendiente o está fuera del plazo, y no es una fecha real.</t>
      </text>
    </comment>
    <comment authorId="0" ref="E21">
      <text>
        <t xml:space="preserve">Fecha según EDATE a partir del primer vencimiento. No ajusta automáticamente feriados.</t>
      </text>
    </comment>
    <comment authorId="0" ref="F21">
      <text>
        <t xml:space="preserve">Capital al inicio del período en el calendario ORIGINAL, sin recalcular por pagos reales.</t>
      </text>
    </comment>
    <comment authorId="0" ref="G21">
      <text>
        <t xml:space="preserve">Tasa efectiva del mes según la base ingresada.</t>
      </text>
    </comment>
    <comment authorId="0" ref="H21">
      <text>
        <t xml:space="preserve">Interés del período = capital inicial × tasa mensual, redondeado a dos decimales.</t>
      </text>
    </comment>
    <comment authorId="0" ref="I21">
      <text>
        <t xml:space="preserve">Capital e interés pactados. La última cuota ajusta el saldo por redondeo.</t>
      </text>
    </comment>
    <comment authorId="0" ref="J21">
      <text>
        <t xml:space="preserve">Capital amortizado TEÓRICO = cuota base − interés, limitado al saldo.</t>
      </text>
    </comment>
    <comment authorId="0" ref="K21">
      <text>
        <t xml:space="preserve">Seguro y otros cargos fijos del mes.</t>
      </text>
    </comment>
    <comment authorId="0" ref="L21">
      <text>
        <t xml:space="preserve">Cuota base + cargos.</t>
      </text>
    </comment>
    <comment authorId="0" ref="M21">
      <text>
        <t xml:space="preserve">Capital final del calendario teórico. No equivale al saldo real si hay pagos parciales o atrasos.</t>
      </text>
    </comment>
    <comment authorId="0" ref="N21">
      <text>
        <t xml:space="preserve">Suma de pagos válidos del mismo ID y cuota con fecha igual o anterior al corte.</t>
      </text>
    </comment>
    <comment authorId="0" ref="O21">
      <text>
        <t xml:space="preserve">MIN(amortización pactada; MAX(0; pagado − cargos − interés)). No imputa excedentes a otras cuotas.</t>
      </text>
    </comment>
    <comment authorId="0" ref="P21">
      <text>
        <t xml:space="preserve">MAX(0; total pactado − pagado a esta cuota). Incluye capital, interés y cargos pendientes de ESA cuota.</t>
      </text>
    </comment>
    <comment authorId="0" ref="Q21">
      <text>
        <t xml:space="preserve">Días desde vencimiento hasta corte, solo si venció antes del corte y sigue con saldo.</t>
      </text>
    </comment>
    <comment authorId="0" ref="R21">
      <text>
        <t xml:space="preserve">MAX(0; pagado − cuota pactada). Exceso para revisar: no se traspasa a otra cuota.</t>
      </text>
    </comment>
    <comment authorId="0" ref="C550">
      <text>
        <t xml:space="preserve">Crédito al que corresponde esta cuota.</t>
      </text>
    </comment>
    <comment authorId="0" ref="S21">
      <text>
        <t xml:space="preserve">Pagada, Vencida, Vence hoy, Por vencer o Exceso sin imputar según fecha y saldo al corte.</t>
      </text>
    </comment>
    <comment authorId="0" ref="D550">
      <text>
        <t xml:space="preserve">Número de cuota dentro del crédito.</t>
      </text>
    </comment>
    <comment authorId="0" ref="T21">
      <text>
        <t xml:space="preserve">Auxiliar para encontrar la primera cuota pendiente. El 999999 indica que esta cuota no tiene saldo pendiente o está fuera del plazo, y no es una fecha real.</t>
      </text>
    </comment>
    <comment authorId="0" ref="E550">
      <text>
        <t xml:space="preserve">Fecha según EDATE a partir del primer vencimiento. No ajusta automáticamente feriados.</t>
      </text>
    </comment>
    <comment authorId="0" ref="F550">
      <text>
        <t xml:space="preserve">Capital al inicio del período en el calendario ORIGINAL, sin recalcular por pagos reales.</t>
      </text>
    </comment>
    <comment authorId="0" ref="G550">
      <text>
        <t xml:space="preserve">Tasa efectiva del mes según la base ingresada.</t>
      </text>
    </comment>
    <comment authorId="0" ref="H550">
      <text>
        <t xml:space="preserve">Interés del período = capital inicial × tasa mensual, redondeado a dos decimales.</t>
      </text>
    </comment>
    <comment authorId="0" ref="I550">
      <text>
        <t xml:space="preserve">Capital e interés pactados. La última cuota ajusta el saldo por redondeo.</t>
      </text>
    </comment>
    <comment authorId="0" ref="J550">
      <text>
        <t xml:space="preserve">Capital amortizado TEÓRICO = cuota base − interés, limitado al saldo.</t>
      </text>
    </comment>
    <comment authorId="0" ref="K550">
      <text>
        <t xml:space="preserve">Seguro y otros cargos fijos del mes.</t>
      </text>
    </comment>
    <comment authorId="0" ref="L550">
      <text>
        <t xml:space="preserve">Cuota base + cargos.</t>
      </text>
    </comment>
    <comment authorId="0" ref="M550">
      <text>
        <t xml:space="preserve">Capital final del calendario teórico. No equivale al saldo real si hay pagos parciales o atrasos.</t>
      </text>
    </comment>
    <comment authorId="0" ref="N550">
      <text>
        <t xml:space="preserve">Suma de pagos válidos del mismo ID y cuota con fecha igual o anterior al corte.</t>
      </text>
    </comment>
    <comment authorId="0" ref="O550">
      <text>
        <t xml:space="preserve">MIN(amortización pactada; MAX(0; pagado − cargos − interés)). No imputa excedentes a otras cuotas.</t>
      </text>
    </comment>
    <comment authorId="0" ref="P550">
      <text>
        <t xml:space="preserve">MAX(0; total pactado − pagado a esta cuota). Incluye capital, interés y cargos pendientes de ESA cuota.</t>
      </text>
    </comment>
    <comment authorId="0" ref="Q550">
      <text>
        <t xml:space="preserve">Días desde vencimiento hasta corte, solo si venció antes del corte y sigue con saldo.</t>
      </text>
    </comment>
    <comment authorId="0" ref="R550">
      <text>
        <t xml:space="preserve">MAX(0; pagado − cuota pactada). Exceso para revisar: no se traspasa a otra cuota.</t>
      </text>
    </comment>
    <comment authorId="0" ref="C22">
      <text>
        <t xml:space="preserve">Crédito al que corresponde esta cuota.</t>
      </text>
    </comment>
    <comment authorId="0" ref="S550">
      <text>
        <t xml:space="preserve">Pagada, Vencida, Vence hoy, Por vencer o Exceso sin imputar según fecha y saldo al corte.</t>
      </text>
    </comment>
    <comment authorId="0" ref="D22">
      <text>
        <t xml:space="preserve">Número de cuota dentro del crédito.</t>
      </text>
    </comment>
    <comment authorId="0" ref="T550">
      <text>
        <t xml:space="preserve">Auxiliar para encontrar la primera cuota pendiente. El 999999 indica que esta cuota no tiene saldo pendiente o está fuera del plazo, y no es una fecha real.</t>
      </text>
    </comment>
    <comment authorId="0" ref="E22">
      <text>
        <t xml:space="preserve">Fecha según EDATE a partir del primer vencimiento. No ajusta automáticamente feriados.</t>
      </text>
    </comment>
    <comment authorId="0" ref="F22">
      <text>
        <t xml:space="preserve">Capital al inicio del período en el calendario ORIGINAL, sin recalcular por pagos reales.</t>
      </text>
    </comment>
    <comment authorId="0" ref="G22">
      <text>
        <t xml:space="preserve">Tasa efectiva del mes según la base ingresada.</t>
      </text>
    </comment>
    <comment authorId="0" ref="H22">
      <text>
        <t xml:space="preserve">Interés del período = capital inicial × tasa mensual, redondeado a dos decimales.</t>
      </text>
    </comment>
    <comment authorId="0" ref="I22">
      <text>
        <t xml:space="preserve">Capital e interés pactados. La última cuota ajusta el saldo por redondeo.</t>
      </text>
    </comment>
    <comment authorId="0" ref="J22">
      <text>
        <t xml:space="preserve">Capital amortizado TEÓRICO = cuota base − interés, limitado al saldo.</t>
      </text>
    </comment>
    <comment authorId="0" ref="K22">
      <text>
        <t xml:space="preserve">Seguro y otros cargos fijos del mes.</t>
      </text>
    </comment>
    <comment authorId="0" ref="L22">
      <text>
        <t xml:space="preserve">Cuota base + cargos.</t>
      </text>
    </comment>
    <comment authorId="0" ref="M22">
      <text>
        <t xml:space="preserve">Capital final del calendario teórico. No equivale al saldo real si hay pagos parciales o atrasos.</t>
      </text>
    </comment>
    <comment authorId="0" ref="N22">
      <text>
        <t xml:space="preserve">Suma de pagos válidos del mismo ID y cuota con fecha igual o anterior al corte.</t>
      </text>
    </comment>
    <comment authorId="0" ref="O22">
      <text>
        <t xml:space="preserve">MIN(amortización pactada; MAX(0; pagado − cargos − interés)). No imputa excedentes a otras cuotas.</t>
      </text>
    </comment>
    <comment authorId="0" ref="P22">
      <text>
        <t xml:space="preserve">MAX(0; total pactado − pagado a esta cuota). Incluye capital, interés y cargos pendientes de ESA cuota.</t>
      </text>
    </comment>
    <comment authorId="0" ref="Q22">
      <text>
        <t xml:space="preserve">Días desde vencimiento hasta corte, solo si venció antes del corte y sigue con saldo.</t>
      </text>
    </comment>
    <comment authorId="0" ref="R22">
      <text>
        <t xml:space="preserve">MAX(0; pagado − cuota pactada). Exceso para revisar: no se traspasa a otra cuota.</t>
      </text>
    </comment>
    <comment authorId="0" ref="C551">
      <text>
        <t xml:space="preserve">Crédito al que corresponde esta cuota.</t>
      </text>
    </comment>
    <comment authorId="0" ref="S22">
      <text>
        <t xml:space="preserve">Pagada, Vencida, Vence hoy, Por vencer o Exceso sin imputar según fecha y saldo al corte.</t>
      </text>
    </comment>
    <comment authorId="0" ref="D551">
      <text>
        <t xml:space="preserve">Número de cuota dentro del crédito.</t>
      </text>
    </comment>
    <comment authorId="0" ref="T22">
      <text>
        <t xml:space="preserve">Auxiliar para encontrar la primera cuota pendiente. El 999999 indica que esta cuota no tiene saldo pendiente o está fuera del plazo, y no es una fecha real.</t>
      </text>
    </comment>
    <comment authorId="0" ref="E551">
      <text>
        <t xml:space="preserve">Fecha según EDATE a partir del primer vencimiento. No ajusta automáticamente feriados.</t>
      </text>
    </comment>
    <comment authorId="0" ref="F551">
      <text>
        <t xml:space="preserve">Capital al inicio del período en el calendario ORIGINAL, sin recalcular por pagos reales.</t>
      </text>
    </comment>
    <comment authorId="0" ref="G551">
      <text>
        <t xml:space="preserve">Tasa efectiva del mes según la base ingresada.</t>
      </text>
    </comment>
    <comment authorId="0" ref="H551">
      <text>
        <t xml:space="preserve">Interés del período = capital inicial × tasa mensual, redondeado a dos decimales.</t>
      </text>
    </comment>
    <comment authorId="0" ref="I551">
      <text>
        <t xml:space="preserve">Capital e interés pactados. La última cuota ajusta el saldo por redondeo.</t>
      </text>
    </comment>
    <comment authorId="0" ref="J551">
      <text>
        <t xml:space="preserve">Capital amortizado TEÓRICO = cuota base − interés, limitado al saldo.</t>
      </text>
    </comment>
    <comment authorId="0" ref="K551">
      <text>
        <t xml:space="preserve">Seguro y otros cargos fijos del mes.</t>
      </text>
    </comment>
    <comment authorId="0" ref="L551">
      <text>
        <t xml:space="preserve">Cuota base + cargos.</t>
      </text>
    </comment>
    <comment authorId="0" ref="M551">
      <text>
        <t xml:space="preserve">Capital final del calendario teórico. No equivale al saldo real si hay pagos parciales o atrasos.</t>
      </text>
    </comment>
    <comment authorId="0" ref="N551">
      <text>
        <t xml:space="preserve">Suma de pagos válidos del mismo ID y cuota con fecha igual o anterior al corte.</t>
      </text>
    </comment>
    <comment authorId="0" ref="O551">
      <text>
        <t xml:space="preserve">MIN(amortización pactada; MAX(0; pagado − cargos − interés)). No imputa excedentes a otras cuotas.</t>
      </text>
    </comment>
    <comment authorId="0" ref="P551">
      <text>
        <t xml:space="preserve">MAX(0; total pactado − pagado a esta cuota). Incluye capital, interés y cargos pendientes de ESA cuota.</t>
      </text>
    </comment>
    <comment authorId="0" ref="Q551">
      <text>
        <t xml:space="preserve">Días desde vencimiento hasta corte, solo si venció antes del corte y sigue con saldo.</t>
      </text>
    </comment>
    <comment authorId="0" ref="R551">
      <text>
        <t xml:space="preserve">MAX(0; pagado − cuota pactada). Exceso para revisar: no se traspasa a otra cuota.</t>
      </text>
    </comment>
    <comment authorId="0" ref="C23">
      <text>
        <t xml:space="preserve">Crédito al que corresponde esta cuota.</t>
      </text>
    </comment>
    <comment authorId="0" ref="S551">
      <text>
        <t xml:space="preserve">Pagada, Vencida, Vence hoy, Por vencer o Exceso sin imputar según fecha y saldo al corte.</t>
      </text>
    </comment>
    <comment authorId="0" ref="D23">
      <text>
        <t xml:space="preserve">Número de cuota dentro del crédito.</t>
      </text>
    </comment>
    <comment authorId="0" ref="T551">
      <text>
        <t xml:space="preserve">Auxiliar para encontrar la primera cuota pendiente. El 999999 indica que esta cuota no tiene saldo pendiente o está fuera del plazo, y no es una fecha real.</t>
      </text>
    </comment>
    <comment authorId="0" ref="E23">
      <text>
        <t xml:space="preserve">Fecha según EDATE a partir del primer vencimiento. No ajusta automáticamente feriados.</t>
      </text>
    </comment>
    <comment authorId="0" ref="F23">
      <text>
        <t xml:space="preserve">Capital al inicio del período en el calendario ORIGINAL, sin recalcular por pagos reales.</t>
      </text>
    </comment>
    <comment authorId="0" ref="G23">
      <text>
        <t xml:space="preserve">Tasa efectiva del mes según la base ingresada.</t>
      </text>
    </comment>
    <comment authorId="0" ref="H23">
      <text>
        <t xml:space="preserve">Interés del período = capital inicial × tasa mensual, redondeado a dos decimales.</t>
      </text>
    </comment>
    <comment authorId="0" ref="I23">
      <text>
        <t xml:space="preserve">Capital e interés pactados. La última cuota ajusta el saldo por redondeo.</t>
      </text>
    </comment>
    <comment authorId="0" ref="J23">
      <text>
        <t xml:space="preserve">Capital amortizado TEÓRICO = cuota base − interés, limitado al saldo.</t>
      </text>
    </comment>
    <comment authorId="0" ref="K23">
      <text>
        <t xml:space="preserve">Seguro y otros cargos fijos del mes.</t>
      </text>
    </comment>
    <comment authorId="0" ref="L23">
      <text>
        <t xml:space="preserve">Cuota base + cargos.</t>
      </text>
    </comment>
    <comment authorId="0" ref="M23">
      <text>
        <t xml:space="preserve">Capital final del calendario teórico. No equivale al saldo real si hay pagos parciales o atrasos.</t>
      </text>
    </comment>
    <comment authorId="0" ref="N23">
      <text>
        <t xml:space="preserve">Suma de pagos válidos del mismo ID y cuota con fecha igual o anterior al corte.</t>
      </text>
    </comment>
    <comment authorId="0" ref="O23">
      <text>
        <t xml:space="preserve">MIN(amortización pactada; MAX(0; pagado − cargos − interés)). No imputa excedentes a otras cuotas.</t>
      </text>
    </comment>
    <comment authorId="0" ref="P23">
      <text>
        <t xml:space="preserve">MAX(0; total pactado − pagado a esta cuota). Incluye capital, interés y cargos pendientes de ESA cuota.</t>
      </text>
    </comment>
    <comment authorId="0" ref="Q23">
      <text>
        <t xml:space="preserve">Días desde vencimiento hasta corte, solo si venció antes del corte y sigue con saldo.</t>
      </text>
    </comment>
    <comment authorId="0" ref="R23">
      <text>
        <t xml:space="preserve">MAX(0; pagado − cuota pactada). Exceso para revisar: no se traspasa a otra cuota.</t>
      </text>
    </comment>
    <comment authorId="0" ref="C552">
      <text>
        <t xml:space="preserve">Crédito al que corresponde esta cuota.</t>
      </text>
    </comment>
    <comment authorId="0" ref="S23">
      <text>
        <t xml:space="preserve">Pagada, Vencida, Vence hoy, Por vencer o Exceso sin imputar según fecha y saldo al corte.</t>
      </text>
    </comment>
    <comment authorId="0" ref="D552">
      <text>
        <t xml:space="preserve">Número de cuota dentro del crédito.</t>
      </text>
    </comment>
    <comment authorId="0" ref="T23">
      <text>
        <t xml:space="preserve">Auxiliar para encontrar la primera cuota pendiente. El 999999 indica que esta cuota no tiene saldo pendiente o está fuera del plazo, y no es una fecha real.</t>
      </text>
    </comment>
    <comment authorId="0" ref="E552">
      <text>
        <t xml:space="preserve">Fecha según EDATE a partir del primer vencimiento. No ajusta automáticamente feriados.</t>
      </text>
    </comment>
    <comment authorId="0" ref="F552">
      <text>
        <t xml:space="preserve">Capital al inicio del período en el calendario ORIGINAL, sin recalcular por pagos reales.</t>
      </text>
    </comment>
    <comment authorId="0" ref="G552">
      <text>
        <t xml:space="preserve">Tasa efectiva del mes según la base ingresada.</t>
      </text>
    </comment>
    <comment authorId="0" ref="H552">
      <text>
        <t xml:space="preserve">Interés del período = capital inicial × tasa mensual, redondeado a dos decimales.</t>
      </text>
    </comment>
    <comment authorId="0" ref="I552">
      <text>
        <t xml:space="preserve">Capital e interés pactados. La última cuota ajusta el saldo por redondeo.</t>
      </text>
    </comment>
    <comment authorId="0" ref="J552">
      <text>
        <t xml:space="preserve">Capital amortizado TEÓRICO = cuota base − interés, limitado al saldo.</t>
      </text>
    </comment>
    <comment authorId="0" ref="K552">
      <text>
        <t xml:space="preserve">Seguro y otros cargos fijos del mes.</t>
      </text>
    </comment>
    <comment authorId="0" ref="L552">
      <text>
        <t xml:space="preserve">Cuota base + cargos.</t>
      </text>
    </comment>
    <comment authorId="0" ref="M552">
      <text>
        <t xml:space="preserve">Capital final del calendario teórico. No equivale al saldo real si hay pagos parciales o atrasos.</t>
      </text>
    </comment>
    <comment authorId="0" ref="N552">
      <text>
        <t xml:space="preserve">Suma de pagos válidos del mismo ID y cuota con fecha igual o anterior al corte.</t>
      </text>
    </comment>
    <comment authorId="0" ref="O552">
      <text>
        <t xml:space="preserve">MIN(amortización pactada; MAX(0; pagado − cargos − interés)). No imputa excedentes a otras cuotas.</t>
      </text>
    </comment>
    <comment authorId="0" ref="P552">
      <text>
        <t xml:space="preserve">MAX(0; total pactado − pagado a esta cuota). Incluye capital, interés y cargos pendientes de ESA cuota.</t>
      </text>
    </comment>
    <comment authorId="0" ref="Q552">
      <text>
        <t xml:space="preserve">Días desde vencimiento hasta corte, solo si venció antes del corte y sigue con saldo.</t>
      </text>
    </comment>
    <comment authorId="0" ref="R552">
      <text>
        <t xml:space="preserve">MAX(0; pagado − cuota pactada). Exceso para revisar: no se traspasa a otra cuota.</t>
      </text>
    </comment>
    <comment authorId="0" ref="C24">
      <text>
        <t xml:space="preserve">Crédito al que corresponde esta cuota.</t>
      </text>
    </comment>
    <comment authorId="0" ref="S552">
      <text>
        <t xml:space="preserve">Pagada, Vencida, Vence hoy, Por vencer o Exceso sin imputar según fecha y saldo al corte.</t>
      </text>
    </comment>
    <comment authorId="0" ref="D24">
      <text>
        <t xml:space="preserve">Número de cuota dentro del crédito.</t>
      </text>
    </comment>
    <comment authorId="0" ref="T552">
      <text>
        <t xml:space="preserve">Auxiliar para encontrar la primera cuota pendiente. El 999999 indica que esta cuota no tiene saldo pendiente o está fuera del plazo, y no es una fecha real.</t>
      </text>
    </comment>
    <comment authorId="0" ref="E24">
      <text>
        <t xml:space="preserve">Fecha según EDATE a partir del primer vencimiento. No ajusta automáticamente feriados.</t>
      </text>
    </comment>
    <comment authorId="0" ref="F24">
      <text>
        <t xml:space="preserve">Capital al inicio del período en el calendario ORIGINAL, sin recalcular por pagos reales.</t>
      </text>
    </comment>
    <comment authorId="0" ref="G24">
      <text>
        <t xml:space="preserve">Tasa efectiva del mes según la base ingresada.</t>
      </text>
    </comment>
    <comment authorId="0" ref="H24">
      <text>
        <t xml:space="preserve">Interés del período = capital inicial × tasa mensual, redondeado a dos decimales.</t>
      </text>
    </comment>
    <comment authorId="0" ref="I24">
      <text>
        <t xml:space="preserve">Capital e interés pactados. La última cuota ajusta el saldo por redondeo.</t>
      </text>
    </comment>
    <comment authorId="0" ref="J24">
      <text>
        <t xml:space="preserve">Capital amortizado TEÓRICO = cuota base − interés, limitado al saldo.</t>
      </text>
    </comment>
    <comment authorId="0" ref="K24">
      <text>
        <t xml:space="preserve">Seguro y otros cargos fijos del mes.</t>
      </text>
    </comment>
    <comment authorId="0" ref="L24">
      <text>
        <t xml:space="preserve">Cuota base + cargos.</t>
      </text>
    </comment>
    <comment authorId="0" ref="M24">
      <text>
        <t xml:space="preserve">Capital final del calendario teórico. No equivale al saldo real si hay pagos parciales o atrasos.</t>
      </text>
    </comment>
    <comment authorId="0" ref="N24">
      <text>
        <t xml:space="preserve">Suma de pagos válidos del mismo ID y cuota con fecha igual o anterior al corte.</t>
      </text>
    </comment>
    <comment authorId="0" ref="O24">
      <text>
        <t xml:space="preserve">MIN(amortización pactada; MAX(0; pagado − cargos − interés)). No imputa excedentes a otras cuotas.</t>
      </text>
    </comment>
    <comment authorId="0" ref="P24">
      <text>
        <t xml:space="preserve">MAX(0; total pactado − pagado a esta cuota). Incluye capital, interés y cargos pendientes de ESA cuota.</t>
      </text>
    </comment>
    <comment authorId="0" ref="Q24">
      <text>
        <t xml:space="preserve">Días desde vencimiento hasta corte, solo si venció antes del corte y sigue con saldo.</t>
      </text>
    </comment>
    <comment authorId="0" ref="R24">
      <text>
        <t xml:space="preserve">MAX(0; pagado − cuota pactada). Exceso para revisar: no se traspasa a otra cuota.</t>
      </text>
    </comment>
    <comment authorId="0" ref="C553">
      <text>
        <t xml:space="preserve">Crédito al que corresponde esta cuota.</t>
      </text>
    </comment>
    <comment authorId="0" ref="S24">
      <text>
        <t xml:space="preserve">Pagada, Vencida, Vence hoy, Por vencer o Exceso sin imputar según fecha y saldo al corte.</t>
      </text>
    </comment>
    <comment authorId="0" ref="D553">
      <text>
        <t xml:space="preserve">Número de cuota dentro del crédito.</t>
      </text>
    </comment>
    <comment authorId="0" ref="T24">
      <text>
        <t xml:space="preserve">Auxiliar para encontrar la primera cuota pendiente. El 999999 indica que esta cuota no tiene saldo pendiente o está fuera del plazo, y no es una fecha real.</t>
      </text>
    </comment>
    <comment authorId="0" ref="E553">
      <text>
        <t xml:space="preserve">Fecha según EDATE a partir del primer vencimiento. No ajusta automáticamente feriados.</t>
      </text>
    </comment>
    <comment authorId="0" ref="F553">
      <text>
        <t xml:space="preserve">Capital al inicio del período en el calendario ORIGINAL, sin recalcular por pagos reales.</t>
      </text>
    </comment>
    <comment authorId="0" ref="G553">
      <text>
        <t xml:space="preserve">Tasa efectiva del mes según la base ingresada.</t>
      </text>
    </comment>
    <comment authorId="0" ref="H553">
      <text>
        <t xml:space="preserve">Interés del período = capital inicial × tasa mensual, redondeado a dos decimales.</t>
      </text>
    </comment>
    <comment authorId="0" ref="I553">
      <text>
        <t xml:space="preserve">Capital e interés pactados. La última cuota ajusta el saldo por redondeo.</t>
      </text>
    </comment>
    <comment authorId="0" ref="J553">
      <text>
        <t xml:space="preserve">Capital amortizado TEÓRICO = cuota base − interés, limitado al saldo.</t>
      </text>
    </comment>
    <comment authorId="0" ref="K553">
      <text>
        <t xml:space="preserve">Seguro y otros cargos fijos del mes.</t>
      </text>
    </comment>
    <comment authorId="0" ref="L553">
      <text>
        <t xml:space="preserve">Cuota base + cargos.</t>
      </text>
    </comment>
    <comment authorId="0" ref="M553">
      <text>
        <t xml:space="preserve">Capital final del calendario teórico. No equivale al saldo real si hay pagos parciales o atrasos.</t>
      </text>
    </comment>
    <comment authorId="0" ref="N553">
      <text>
        <t xml:space="preserve">Suma de pagos válidos del mismo ID y cuota con fecha igual o anterior al corte.</t>
      </text>
    </comment>
    <comment authorId="0" ref="O553">
      <text>
        <t xml:space="preserve">MIN(amortización pactada; MAX(0; pagado − cargos − interés)). No imputa excedentes a otras cuotas.</t>
      </text>
    </comment>
    <comment authorId="0" ref="P553">
      <text>
        <t xml:space="preserve">MAX(0; total pactado − pagado a esta cuota). Incluye capital, interés y cargos pendientes de ESA cuota.</t>
      </text>
    </comment>
    <comment authorId="0" ref="Q553">
      <text>
        <t xml:space="preserve">Días desde vencimiento hasta corte, solo si venció antes del corte y sigue con saldo.</t>
      </text>
    </comment>
    <comment authorId="0" ref="R553">
      <text>
        <t xml:space="preserve">MAX(0; pagado − cuota pactada). Exceso para revisar: no se traspasa a otra cuota.</t>
      </text>
    </comment>
    <comment authorId="0" ref="C25">
      <text>
        <t xml:space="preserve">Crédito al que corresponde esta cuota.</t>
      </text>
    </comment>
    <comment authorId="0" ref="S553">
      <text>
        <t xml:space="preserve">Pagada, Vencida, Vence hoy, Por vencer o Exceso sin imputar según fecha y saldo al corte.</t>
      </text>
    </comment>
    <comment authorId="0" ref="D25">
      <text>
        <t xml:space="preserve">Número de cuota dentro del crédito.</t>
      </text>
    </comment>
    <comment authorId="0" ref="T553">
      <text>
        <t xml:space="preserve">Auxiliar para encontrar la primera cuota pendiente. El 999999 indica que esta cuota no tiene saldo pendiente o está fuera del plazo, y no es una fecha real.</t>
      </text>
    </comment>
    <comment authorId="0" ref="E25">
      <text>
        <t xml:space="preserve">Fecha según EDATE a partir del primer vencimiento. No ajusta automáticamente feriados.</t>
      </text>
    </comment>
    <comment authorId="0" ref="F25">
      <text>
        <t xml:space="preserve">Capital al inicio del período en el calendario ORIGINAL, sin recalcular por pagos reales.</t>
      </text>
    </comment>
    <comment authorId="0" ref="G25">
      <text>
        <t xml:space="preserve">Tasa efectiva del mes según la base ingresada.</t>
      </text>
    </comment>
    <comment authorId="0" ref="H25">
      <text>
        <t xml:space="preserve">Interés del período = capital inicial × tasa mensual, redondeado a dos decimales.</t>
      </text>
    </comment>
    <comment authorId="0" ref="I25">
      <text>
        <t xml:space="preserve">Capital e interés pactados. La última cuota ajusta el saldo por redondeo.</t>
      </text>
    </comment>
    <comment authorId="0" ref="J25">
      <text>
        <t xml:space="preserve">Capital amortizado TEÓRICO = cuota base − interés, limitado al saldo.</t>
      </text>
    </comment>
    <comment authorId="0" ref="K25">
      <text>
        <t xml:space="preserve">Seguro y otros cargos fijos del mes.</t>
      </text>
    </comment>
    <comment authorId="0" ref="L25">
      <text>
        <t xml:space="preserve">Cuota base + cargos.</t>
      </text>
    </comment>
    <comment authorId="0" ref="M25">
      <text>
        <t xml:space="preserve">Capital final del calendario teórico. No equivale al saldo real si hay pagos parciales o atrasos.</t>
      </text>
    </comment>
    <comment authorId="0" ref="N25">
      <text>
        <t xml:space="preserve">Suma de pagos válidos del mismo ID y cuota con fecha igual o anterior al corte.</t>
      </text>
    </comment>
    <comment authorId="0" ref="O25">
      <text>
        <t xml:space="preserve">MIN(amortización pactada; MAX(0; pagado − cargos − interés)). No imputa excedentes a otras cuotas.</t>
      </text>
    </comment>
    <comment authorId="0" ref="P25">
      <text>
        <t xml:space="preserve">MAX(0; total pactado − pagado a esta cuota). Incluye capital, interés y cargos pendientes de ESA cuota.</t>
      </text>
    </comment>
    <comment authorId="0" ref="Q25">
      <text>
        <t xml:space="preserve">Días desde vencimiento hasta corte, solo si venció antes del corte y sigue con saldo.</t>
      </text>
    </comment>
    <comment authorId="0" ref="R25">
      <text>
        <t xml:space="preserve">MAX(0; pagado − cuota pactada). Exceso para revisar: no se traspasa a otra cuota.</t>
      </text>
    </comment>
    <comment authorId="0" ref="C554">
      <text>
        <t xml:space="preserve">Crédito al que corresponde esta cuota.</t>
      </text>
    </comment>
    <comment authorId="0" ref="S25">
      <text>
        <t xml:space="preserve">Pagada, Vencida, Vence hoy, Por vencer o Exceso sin imputar según fecha y saldo al corte.</t>
      </text>
    </comment>
    <comment authorId="0" ref="D554">
      <text>
        <t xml:space="preserve">Número de cuota dentro del crédito.</t>
      </text>
    </comment>
    <comment authorId="0" ref="T25">
      <text>
        <t xml:space="preserve">Auxiliar para encontrar la primera cuota pendiente. El 999999 indica que esta cuota no tiene saldo pendiente o está fuera del plazo, y no es una fecha real.</t>
      </text>
    </comment>
    <comment authorId="0" ref="E554">
      <text>
        <t xml:space="preserve">Fecha según EDATE a partir del primer vencimiento. No ajusta automáticamente feriados.</t>
      </text>
    </comment>
    <comment authorId="0" ref="F554">
      <text>
        <t xml:space="preserve">Capital al inicio del período en el calendario ORIGINAL, sin recalcular por pagos reales.</t>
      </text>
    </comment>
    <comment authorId="0" ref="G554">
      <text>
        <t xml:space="preserve">Tasa efectiva del mes según la base ingresada.</t>
      </text>
    </comment>
    <comment authorId="0" ref="H554">
      <text>
        <t xml:space="preserve">Interés del período = capital inicial × tasa mensual, redondeado a dos decimales.</t>
      </text>
    </comment>
    <comment authorId="0" ref="I554">
      <text>
        <t xml:space="preserve">Capital e interés pactados. La última cuota ajusta el saldo por redondeo.</t>
      </text>
    </comment>
    <comment authorId="0" ref="J554">
      <text>
        <t xml:space="preserve">Capital amortizado TEÓRICO = cuota base − interés, limitado al saldo.</t>
      </text>
    </comment>
    <comment authorId="0" ref="K554">
      <text>
        <t xml:space="preserve">Seguro y otros cargos fijos del mes.</t>
      </text>
    </comment>
    <comment authorId="0" ref="L554">
      <text>
        <t xml:space="preserve">Cuota base + cargos.</t>
      </text>
    </comment>
    <comment authorId="0" ref="M554">
      <text>
        <t xml:space="preserve">Capital final del calendario teórico. No equivale al saldo real si hay pagos parciales o atrasos.</t>
      </text>
    </comment>
    <comment authorId="0" ref="N554">
      <text>
        <t xml:space="preserve">Suma de pagos válidos del mismo ID y cuota con fecha igual o anterior al corte.</t>
      </text>
    </comment>
    <comment authorId="0" ref="O554">
      <text>
        <t xml:space="preserve">MIN(amortización pactada; MAX(0; pagado − cargos − interés)). No imputa excedentes a otras cuotas.</t>
      </text>
    </comment>
    <comment authorId="0" ref="P554">
      <text>
        <t xml:space="preserve">MAX(0; total pactado − pagado a esta cuota). Incluye capital, interés y cargos pendientes de ESA cuota.</t>
      </text>
    </comment>
    <comment authorId="0" ref="Q554">
      <text>
        <t xml:space="preserve">Días desde vencimiento hasta corte, solo si venció antes del corte y sigue con saldo.</t>
      </text>
    </comment>
    <comment authorId="0" ref="R554">
      <text>
        <t xml:space="preserve">MAX(0; pagado − cuota pactada). Exceso para revisar: no se traspasa a otra cuota.</t>
      </text>
    </comment>
    <comment authorId="0" ref="C26">
      <text>
        <t xml:space="preserve">Crédito al que corresponde esta cuota.</t>
      </text>
    </comment>
    <comment authorId="0" ref="S554">
      <text>
        <t xml:space="preserve">Pagada, Vencida, Vence hoy, Por vencer o Exceso sin imputar según fecha y saldo al corte.</t>
      </text>
    </comment>
    <comment authorId="0" ref="D26">
      <text>
        <t xml:space="preserve">Número de cuota dentro del crédito.</t>
      </text>
    </comment>
    <comment authorId="0" ref="T554">
      <text>
        <t xml:space="preserve">Auxiliar para encontrar la primera cuota pendiente. El 999999 indica que esta cuota no tiene saldo pendiente o está fuera del plazo, y no es una fecha real.</t>
      </text>
    </comment>
    <comment authorId="0" ref="E26">
      <text>
        <t xml:space="preserve">Fecha según EDATE a partir del primer vencimiento. No ajusta automáticamente feriados.</t>
      </text>
    </comment>
    <comment authorId="0" ref="F26">
      <text>
        <t xml:space="preserve">Capital al inicio del período en el calendario ORIGINAL, sin recalcular por pagos reales.</t>
      </text>
    </comment>
    <comment authorId="0" ref="G26">
      <text>
        <t xml:space="preserve">Tasa efectiva del mes según la base ingresada.</t>
      </text>
    </comment>
    <comment authorId="0" ref="H26">
      <text>
        <t xml:space="preserve">Interés del período = capital inicial × tasa mensual, redondeado a dos decimales.</t>
      </text>
    </comment>
    <comment authorId="0" ref="I26">
      <text>
        <t xml:space="preserve">Capital e interés pactados. La última cuota ajusta el saldo por redondeo.</t>
      </text>
    </comment>
    <comment authorId="0" ref="J26">
      <text>
        <t xml:space="preserve">Capital amortizado TEÓRICO = cuota base − interés, limitado al saldo.</t>
      </text>
    </comment>
    <comment authorId="0" ref="K26">
      <text>
        <t xml:space="preserve">Seguro y otros cargos fijos del mes.</t>
      </text>
    </comment>
    <comment authorId="0" ref="L26">
      <text>
        <t xml:space="preserve">Cuota base + cargos.</t>
      </text>
    </comment>
    <comment authorId="0" ref="M26">
      <text>
        <t xml:space="preserve">Capital final del calendario teórico. No equivale al saldo real si hay pagos parciales o atrasos.</t>
      </text>
    </comment>
    <comment authorId="0" ref="N26">
      <text>
        <t xml:space="preserve">Suma de pagos válidos del mismo ID y cuota con fecha igual o anterior al corte.</t>
      </text>
    </comment>
    <comment authorId="0" ref="O26">
      <text>
        <t xml:space="preserve">MIN(amortización pactada; MAX(0; pagado − cargos − interés)). No imputa excedentes a otras cuotas.</t>
      </text>
    </comment>
    <comment authorId="0" ref="P26">
      <text>
        <t xml:space="preserve">MAX(0; total pactado − pagado a esta cuota). Incluye capital, interés y cargos pendientes de ESA cuota.</t>
      </text>
    </comment>
    <comment authorId="0" ref="Q26">
      <text>
        <t xml:space="preserve">Días desde vencimiento hasta corte, solo si venció antes del corte y sigue con saldo.</t>
      </text>
    </comment>
    <comment authorId="0" ref="R26">
      <text>
        <t xml:space="preserve">MAX(0; pagado − cuota pactada). Exceso para revisar: no se traspasa a otra cuota.</t>
      </text>
    </comment>
    <comment authorId="0" ref="C555">
      <text>
        <t xml:space="preserve">Crédito al que corresponde esta cuota.</t>
      </text>
    </comment>
    <comment authorId="0" ref="S26">
      <text>
        <t xml:space="preserve">Pagada, Vencida, Vence hoy, Por vencer o Exceso sin imputar según fecha y saldo al corte.</t>
      </text>
    </comment>
    <comment authorId="0" ref="D555">
      <text>
        <t xml:space="preserve">Número de cuota dentro del crédito.</t>
      </text>
    </comment>
    <comment authorId="0" ref="T26">
      <text>
        <t xml:space="preserve">Auxiliar para encontrar la primera cuota pendiente. El 999999 indica que esta cuota no tiene saldo pendiente o está fuera del plazo, y no es una fecha real.</t>
      </text>
    </comment>
    <comment authorId="0" ref="E555">
      <text>
        <t xml:space="preserve">Fecha según EDATE a partir del primer vencimiento. No ajusta automáticamente feriados.</t>
      </text>
    </comment>
    <comment authorId="0" ref="F555">
      <text>
        <t xml:space="preserve">Capital al inicio del período en el calendario ORIGINAL, sin recalcular por pagos reales.</t>
      </text>
    </comment>
    <comment authorId="0" ref="G555">
      <text>
        <t xml:space="preserve">Tasa efectiva del mes según la base ingresada.</t>
      </text>
    </comment>
    <comment authorId="0" ref="H555">
      <text>
        <t xml:space="preserve">Interés del período = capital inicial × tasa mensual, redondeado a dos decimales.</t>
      </text>
    </comment>
    <comment authorId="0" ref="I555">
      <text>
        <t xml:space="preserve">Capital e interés pactados. La última cuota ajusta el saldo por redondeo.</t>
      </text>
    </comment>
    <comment authorId="0" ref="J555">
      <text>
        <t xml:space="preserve">Capital amortizado TEÓRICO = cuota base − interés, limitado al saldo.</t>
      </text>
    </comment>
    <comment authorId="0" ref="K555">
      <text>
        <t xml:space="preserve">Seguro y otros cargos fijos del mes.</t>
      </text>
    </comment>
    <comment authorId="0" ref="L555">
      <text>
        <t xml:space="preserve">Cuota base + cargos.</t>
      </text>
    </comment>
    <comment authorId="0" ref="M555">
      <text>
        <t xml:space="preserve">Capital final del calendario teórico. No equivale al saldo real si hay pagos parciales o atrasos.</t>
      </text>
    </comment>
    <comment authorId="0" ref="N555">
      <text>
        <t xml:space="preserve">Suma de pagos válidos del mismo ID y cuota con fecha igual o anterior al corte.</t>
      </text>
    </comment>
    <comment authorId="0" ref="O555">
      <text>
        <t xml:space="preserve">MIN(amortización pactada; MAX(0; pagado − cargos − interés)). No imputa excedentes a otras cuotas.</t>
      </text>
    </comment>
    <comment authorId="0" ref="P555">
      <text>
        <t xml:space="preserve">MAX(0; total pactado − pagado a esta cuota). Incluye capital, interés y cargos pendientes de ESA cuota.</t>
      </text>
    </comment>
    <comment authorId="0" ref="Q555">
      <text>
        <t xml:space="preserve">Días desde vencimiento hasta corte, solo si venció antes del corte y sigue con saldo.</t>
      </text>
    </comment>
    <comment authorId="0" ref="R555">
      <text>
        <t xml:space="preserve">MAX(0; pagado − cuota pactada). Exceso para revisar: no se traspasa a otra cuota.</t>
      </text>
    </comment>
    <comment authorId="0" ref="C27">
      <text>
        <t xml:space="preserve">Crédito al que corresponde esta cuota.</t>
      </text>
    </comment>
    <comment authorId="0" ref="S555">
      <text>
        <t xml:space="preserve">Pagada, Vencida, Vence hoy, Por vencer o Exceso sin imputar según fecha y saldo al corte.</t>
      </text>
    </comment>
    <comment authorId="0" ref="D27">
      <text>
        <t xml:space="preserve">Número de cuota dentro del crédito.</t>
      </text>
    </comment>
    <comment authorId="0" ref="T555">
      <text>
        <t xml:space="preserve">Auxiliar para encontrar la primera cuota pendiente. El 999999 indica que esta cuota no tiene saldo pendiente o está fuera del plazo, y no es una fecha real.</t>
      </text>
    </comment>
    <comment authorId="0" ref="E27">
      <text>
        <t xml:space="preserve">Fecha según EDATE a partir del primer vencimiento. No ajusta automáticamente feriados.</t>
      </text>
    </comment>
    <comment authorId="0" ref="F27">
      <text>
        <t xml:space="preserve">Capital al inicio del período en el calendario ORIGINAL, sin recalcular por pagos reales.</t>
      </text>
    </comment>
    <comment authorId="0" ref="G27">
      <text>
        <t xml:space="preserve">Tasa efectiva del mes según la base ingresada.</t>
      </text>
    </comment>
    <comment authorId="0" ref="H27">
      <text>
        <t xml:space="preserve">Interés del período = capital inicial × tasa mensual, redondeado a dos decimales.</t>
      </text>
    </comment>
    <comment authorId="0" ref="I27">
      <text>
        <t xml:space="preserve">Capital e interés pactados. La última cuota ajusta el saldo por redondeo.</t>
      </text>
    </comment>
    <comment authorId="0" ref="J27">
      <text>
        <t xml:space="preserve">Capital amortizado TEÓRICO = cuota base − interés, limitado al saldo.</t>
      </text>
    </comment>
    <comment authorId="0" ref="K27">
      <text>
        <t xml:space="preserve">Seguro y otros cargos fijos del mes.</t>
      </text>
    </comment>
    <comment authorId="0" ref="L27">
      <text>
        <t xml:space="preserve">Cuota base + cargos.</t>
      </text>
    </comment>
    <comment authorId="0" ref="M27">
      <text>
        <t xml:space="preserve">Capital final del calendario teórico. No equivale al saldo real si hay pagos parciales o atrasos.</t>
      </text>
    </comment>
    <comment authorId="0" ref="N27">
      <text>
        <t xml:space="preserve">Suma de pagos válidos del mismo ID y cuota con fecha igual o anterior al corte.</t>
      </text>
    </comment>
    <comment authorId="0" ref="O27">
      <text>
        <t xml:space="preserve">MIN(amortización pactada; MAX(0; pagado − cargos − interés)). No imputa excedentes a otras cuotas.</t>
      </text>
    </comment>
    <comment authorId="0" ref="P27">
      <text>
        <t xml:space="preserve">MAX(0; total pactado − pagado a esta cuota). Incluye capital, interés y cargos pendientes de ESA cuota.</t>
      </text>
    </comment>
    <comment authorId="0" ref="Q27">
      <text>
        <t xml:space="preserve">Días desde vencimiento hasta corte, solo si venció antes del corte y sigue con saldo.</t>
      </text>
    </comment>
    <comment authorId="0" ref="R27">
      <text>
        <t xml:space="preserve">MAX(0; pagado − cuota pactada). Exceso para revisar: no se traspasa a otra cuota.</t>
      </text>
    </comment>
    <comment authorId="0" ref="C556">
      <text>
        <t xml:space="preserve">Crédito al que corresponde esta cuota.</t>
      </text>
    </comment>
    <comment authorId="0" ref="S27">
      <text>
        <t xml:space="preserve">Pagada, Vencida, Vence hoy, Por vencer o Exceso sin imputar según fecha y saldo al corte.</t>
      </text>
    </comment>
    <comment authorId="0" ref="D556">
      <text>
        <t xml:space="preserve">Número de cuota dentro del crédito.</t>
      </text>
    </comment>
    <comment authorId="0" ref="T27">
      <text>
        <t xml:space="preserve">Auxiliar para encontrar la primera cuota pendiente. El 999999 indica que esta cuota no tiene saldo pendiente o está fuera del plazo, y no es una fecha real.</t>
      </text>
    </comment>
    <comment authorId="0" ref="E556">
      <text>
        <t xml:space="preserve">Fecha según EDATE a partir del primer vencimiento. No ajusta automáticamente feriados.</t>
      </text>
    </comment>
    <comment authorId="0" ref="F556">
      <text>
        <t xml:space="preserve">Capital al inicio del período en el calendario ORIGINAL, sin recalcular por pagos reales.</t>
      </text>
    </comment>
    <comment authorId="0" ref="G556">
      <text>
        <t xml:space="preserve">Tasa efectiva del mes según la base ingresada.</t>
      </text>
    </comment>
    <comment authorId="0" ref="H556">
      <text>
        <t xml:space="preserve">Interés del período = capital inicial × tasa mensual, redondeado a dos decimales.</t>
      </text>
    </comment>
    <comment authorId="0" ref="I556">
      <text>
        <t xml:space="preserve">Capital e interés pactados. La última cuota ajusta el saldo por redondeo.</t>
      </text>
    </comment>
    <comment authorId="0" ref="J556">
      <text>
        <t xml:space="preserve">Capital amortizado TEÓRICO = cuota base − interés, limitado al saldo.</t>
      </text>
    </comment>
    <comment authorId="0" ref="K556">
      <text>
        <t xml:space="preserve">Seguro y otros cargos fijos del mes.</t>
      </text>
    </comment>
    <comment authorId="0" ref="L556">
      <text>
        <t xml:space="preserve">Cuota base + cargos.</t>
      </text>
    </comment>
    <comment authorId="0" ref="M556">
      <text>
        <t xml:space="preserve">Capital final del calendario teórico. No equivale al saldo real si hay pagos parciales o atrasos.</t>
      </text>
    </comment>
    <comment authorId="0" ref="N556">
      <text>
        <t xml:space="preserve">Suma de pagos válidos del mismo ID y cuota con fecha igual o anterior al corte.</t>
      </text>
    </comment>
    <comment authorId="0" ref="O556">
      <text>
        <t xml:space="preserve">MIN(amortización pactada; MAX(0; pagado − cargos − interés)). No imputa excedentes a otras cuotas.</t>
      </text>
    </comment>
    <comment authorId="0" ref="P556">
      <text>
        <t xml:space="preserve">MAX(0; total pactado − pagado a esta cuota). Incluye capital, interés y cargos pendientes de ESA cuota.</t>
      </text>
    </comment>
    <comment authorId="0" ref="Q556">
      <text>
        <t xml:space="preserve">Días desde vencimiento hasta corte, solo si venció antes del corte y sigue con saldo.</t>
      </text>
    </comment>
    <comment authorId="0" ref="R556">
      <text>
        <t xml:space="preserve">MAX(0; pagado − cuota pactada). Exceso para revisar: no se traspasa a otra cuota.</t>
      </text>
    </comment>
    <comment authorId="0" ref="C28">
      <text>
        <t xml:space="preserve">Crédito al que corresponde esta cuota.</t>
      </text>
    </comment>
    <comment authorId="0" ref="S556">
      <text>
        <t xml:space="preserve">Pagada, Vencida, Vence hoy, Por vencer o Exceso sin imputar según fecha y saldo al corte.</t>
      </text>
    </comment>
    <comment authorId="0" ref="D28">
      <text>
        <t xml:space="preserve">Número de cuota dentro del crédito.</t>
      </text>
    </comment>
    <comment authorId="0" ref="T556">
      <text>
        <t xml:space="preserve">Auxiliar para encontrar la primera cuota pendiente. El 999999 indica que esta cuota no tiene saldo pendiente o está fuera del plazo, y no es una fecha real.</t>
      </text>
    </comment>
    <comment authorId="0" ref="E28">
      <text>
        <t xml:space="preserve">Fecha según EDATE a partir del primer vencimiento. No ajusta automáticamente feriados.</t>
      </text>
    </comment>
    <comment authorId="0" ref="F28">
      <text>
        <t xml:space="preserve">Capital al inicio del período en el calendario ORIGINAL, sin recalcular por pagos reales.</t>
      </text>
    </comment>
    <comment authorId="0" ref="G28">
      <text>
        <t xml:space="preserve">Tasa efectiva del mes según la base ingresada.</t>
      </text>
    </comment>
    <comment authorId="0" ref="H28">
      <text>
        <t xml:space="preserve">Interés del período = capital inicial × tasa mensual, redondeado a dos decimales.</t>
      </text>
    </comment>
    <comment authorId="0" ref="I28">
      <text>
        <t xml:space="preserve">Capital e interés pactados. La última cuota ajusta el saldo por redondeo.</t>
      </text>
    </comment>
    <comment authorId="0" ref="J28">
      <text>
        <t xml:space="preserve">Capital amortizado TEÓRICO = cuota base − interés, limitado al saldo.</t>
      </text>
    </comment>
    <comment authorId="0" ref="K28">
      <text>
        <t xml:space="preserve">Seguro y otros cargos fijos del mes.</t>
      </text>
    </comment>
    <comment authorId="0" ref="L28">
      <text>
        <t xml:space="preserve">Cuota base + cargos.</t>
      </text>
    </comment>
    <comment authorId="0" ref="M28">
      <text>
        <t xml:space="preserve">Capital final del calendario teórico. No equivale al saldo real si hay pagos parciales o atrasos.</t>
      </text>
    </comment>
    <comment authorId="0" ref="N28">
      <text>
        <t xml:space="preserve">Suma de pagos válidos del mismo ID y cuota con fecha igual o anterior al corte.</t>
      </text>
    </comment>
    <comment authorId="0" ref="O28">
      <text>
        <t xml:space="preserve">MIN(amortización pactada; MAX(0; pagado − cargos − interés)). No imputa excedentes a otras cuotas.</t>
      </text>
    </comment>
    <comment authorId="0" ref="P28">
      <text>
        <t xml:space="preserve">MAX(0; total pactado − pagado a esta cuota). Incluye capital, interés y cargos pendientes de ESA cuota.</t>
      </text>
    </comment>
    <comment authorId="0" ref="Q28">
      <text>
        <t xml:space="preserve">Días desde vencimiento hasta corte, solo si venció antes del corte y sigue con saldo.</t>
      </text>
    </comment>
    <comment authorId="0" ref="R28">
      <text>
        <t xml:space="preserve">MAX(0; pagado − cuota pactada). Exceso para revisar: no se traspasa a otra cuota.</t>
      </text>
    </comment>
    <comment authorId="0" ref="C557">
      <text>
        <t xml:space="preserve">Crédito al que corresponde esta cuota.</t>
      </text>
    </comment>
    <comment authorId="0" ref="S28">
      <text>
        <t xml:space="preserve">Pagada, Vencida, Vence hoy, Por vencer o Exceso sin imputar según fecha y saldo al corte.</t>
      </text>
    </comment>
    <comment authorId="0" ref="D557">
      <text>
        <t xml:space="preserve">Número de cuota dentro del crédito.</t>
      </text>
    </comment>
    <comment authorId="0" ref="T28">
      <text>
        <t xml:space="preserve">Auxiliar para encontrar la primera cuota pendiente. El 999999 indica que esta cuota no tiene saldo pendiente o está fuera del plazo, y no es una fecha real.</t>
      </text>
    </comment>
    <comment authorId="0" ref="E557">
      <text>
        <t xml:space="preserve">Fecha según EDATE a partir del primer vencimiento. No ajusta automáticamente feriados.</t>
      </text>
    </comment>
    <comment authorId="0" ref="F557">
      <text>
        <t xml:space="preserve">Capital al inicio del período en el calendario ORIGINAL, sin recalcular por pagos reales.</t>
      </text>
    </comment>
    <comment authorId="0" ref="G557">
      <text>
        <t xml:space="preserve">Tasa efectiva del mes según la base ingresada.</t>
      </text>
    </comment>
    <comment authorId="0" ref="H557">
      <text>
        <t xml:space="preserve">Interés del período = capital inicial × tasa mensual, redondeado a dos decimales.</t>
      </text>
    </comment>
    <comment authorId="0" ref="I557">
      <text>
        <t xml:space="preserve">Capital e interés pactados. La última cuota ajusta el saldo por redondeo.</t>
      </text>
    </comment>
    <comment authorId="0" ref="J557">
      <text>
        <t xml:space="preserve">Capital amortizado TEÓRICO = cuota base − interés, limitado al saldo.</t>
      </text>
    </comment>
    <comment authorId="0" ref="K557">
      <text>
        <t xml:space="preserve">Seguro y otros cargos fijos del mes.</t>
      </text>
    </comment>
    <comment authorId="0" ref="L557">
      <text>
        <t xml:space="preserve">Cuota base + cargos.</t>
      </text>
    </comment>
    <comment authorId="0" ref="M557">
      <text>
        <t xml:space="preserve">Capital final del calendario teórico. No equivale al saldo real si hay pagos parciales o atrasos.</t>
      </text>
    </comment>
    <comment authorId="0" ref="N557">
      <text>
        <t xml:space="preserve">Suma de pagos válidos del mismo ID y cuota con fecha igual o anterior al corte.</t>
      </text>
    </comment>
    <comment authorId="0" ref="O557">
      <text>
        <t xml:space="preserve">MIN(amortización pactada; MAX(0; pagado − cargos − interés)). No imputa excedentes a otras cuotas.</t>
      </text>
    </comment>
    <comment authorId="0" ref="P557">
      <text>
        <t xml:space="preserve">MAX(0; total pactado − pagado a esta cuota). Incluye capital, interés y cargos pendientes de ESA cuota.</t>
      </text>
    </comment>
    <comment authorId="0" ref="Q557">
      <text>
        <t xml:space="preserve">Días desde vencimiento hasta corte, solo si venció antes del corte y sigue con saldo.</t>
      </text>
    </comment>
    <comment authorId="0" ref="R557">
      <text>
        <t xml:space="preserve">MAX(0; pagado − cuota pactada). Exceso para revisar: no se traspasa a otra cuota.</t>
      </text>
    </comment>
    <comment authorId="0" ref="C29">
      <text>
        <t xml:space="preserve">Crédito al que corresponde esta cuota.</t>
      </text>
    </comment>
    <comment authorId="0" ref="S557">
      <text>
        <t xml:space="preserve">Pagada, Vencida, Vence hoy, Por vencer o Exceso sin imputar según fecha y saldo al corte.</t>
      </text>
    </comment>
    <comment authorId="0" ref="D29">
      <text>
        <t xml:space="preserve">Número de cuota dentro del crédito.</t>
      </text>
    </comment>
    <comment authorId="0" ref="T557">
      <text>
        <t xml:space="preserve">Auxiliar para encontrar la primera cuota pendiente. El 999999 indica que esta cuota no tiene saldo pendiente o está fuera del plazo, y no es una fecha real.</t>
      </text>
    </comment>
    <comment authorId="0" ref="E29">
      <text>
        <t xml:space="preserve">Fecha según EDATE a partir del primer vencimiento. No ajusta automáticamente feriados.</t>
      </text>
    </comment>
    <comment authorId="0" ref="F29">
      <text>
        <t xml:space="preserve">Capital al inicio del período en el calendario ORIGINAL, sin recalcular por pagos reales.</t>
      </text>
    </comment>
    <comment authorId="0" ref="G29">
      <text>
        <t xml:space="preserve">Tasa efectiva del mes según la base ingresada.</t>
      </text>
    </comment>
    <comment authorId="0" ref="H29">
      <text>
        <t xml:space="preserve">Interés del período = capital inicial × tasa mensual, redondeado a dos decimales.</t>
      </text>
    </comment>
    <comment authorId="0" ref="I29">
      <text>
        <t xml:space="preserve">Capital e interés pactados. La última cuota ajusta el saldo por redondeo.</t>
      </text>
    </comment>
    <comment authorId="0" ref="J29">
      <text>
        <t xml:space="preserve">Capital amortizado TEÓRICO = cuota base − interés, limitado al saldo.</t>
      </text>
    </comment>
    <comment authorId="0" ref="K29">
      <text>
        <t xml:space="preserve">Seguro y otros cargos fijos del mes.</t>
      </text>
    </comment>
    <comment authorId="0" ref="L29">
      <text>
        <t xml:space="preserve">Cuota base + cargos.</t>
      </text>
    </comment>
    <comment authorId="0" ref="M29">
      <text>
        <t xml:space="preserve">Capital final del calendario teórico. No equivale al saldo real si hay pagos parciales o atrasos.</t>
      </text>
    </comment>
    <comment authorId="0" ref="N29">
      <text>
        <t xml:space="preserve">Suma de pagos válidos del mismo ID y cuota con fecha igual o anterior al corte.</t>
      </text>
    </comment>
    <comment authorId="0" ref="O29">
      <text>
        <t xml:space="preserve">MIN(amortización pactada; MAX(0; pagado − cargos − interés)). No imputa excedentes a otras cuotas.</t>
      </text>
    </comment>
    <comment authorId="0" ref="P29">
      <text>
        <t xml:space="preserve">MAX(0; total pactado − pagado a esta cuota). Incluye capital, interés y cargos pendientes de ESA cuota.</t>
      </text>
    </comment>
    <comment authorId="0" ref="Q29">
      <text>
        <t xml:space="preserve">Días desde vencimiento hasta corte, solo si venció antes del corte y sigue con saldo.</t>
      </text>
    </comment>
    <comment authorId="0" ref="R29">
      <text>
        <t xml:space="preserve">MAX(0; pagado − cuota pactada). Exceso para revisar: no se traspasa a otra cuota.</t>
      </text>
    </comment>
    <comment authorId="0" ref="C558">
      <text>
        <t xml:space="preserve">Crédito al que corresponde esta cuota.</t>
      </text>
    </comment>
    <comment authorId="0" ref="S29">
      <text>
        <t xml:space="preserve">Pagada, Vencida, Vence hoy, Por vencer o Exceso sin imputar según fecha y saldo al corte.</t>
      </text>
    </comment>
    <comment authorId="0" ref="D558">
      <text>
        <t xml:space="preserve">Número de cuota dentro del crédito.</t>
      </text>
    </comment>
    <comment authorId="0" ref="T29">
      <text>
        <t xml:space="preserve">Auxiliar para encontrar la primera cuota pendiente. El 999999 indica que esta cuota no tiene saldo pendiente o está fuera del plazo, y no es una fecha real.</t>
      </text>
    </comment>
    <comment authorId="0" ref="E558">
      <text>
        <t xml:space="preserve">Fecha según EDATE a partir del primer vencimiento. No ajusta automáticamente feriados.</t>
      </text>
    </comment>
    <comment authorId="0" ref="F558">
      <text>
        <t xml:space="preserve">Capital al inicio del período en el calendario ORIGINAL, sin recalcular por pagos reales.</t>
      </text>
    </comment>
    <comment authorId="0" ref="G558">
      <text>
        <t xml:space="preserve">Tasa efectiva del mes según la base ingresada.</t>
      </text>
    </comment>
    <comment authorId="0" ref="H558">
      <text>
        <t xml:space="preserve">Interés del período = capital inicial × tasa mensual, redondeado a dos decimales.</t>
      </text>
    </comment>
    <comment authorId="0" ref="I558">
      <text>
        <t xml:space="preserve">Capital e interés pactados. La última cuota ajusta el saldo por redondeo.</t>
      </text>
    </comment>
    <comment authorId="0" ref="J558">
      <text>
        <t xml:space="preserve">Capital amortizado TEÓRICO = cuota base − interés, limitado al saldo.</t>
      </text>
    </comment>
    <comment authorId="0" ref="K558">
      <text>
        <t xml:space="preserve">Seguro y otros cargos fijos del mes.</t>
      </text>
    </comment>
    <comment authorId="0" ref="L558">
      <text>
        <t xml:space="preserve">Cuota base + cargos.</t>
      </text>
    </comment>
    <comment authorId="0" ref="M558">
      <text>
        <t xml:space="preserve">Capital final del calendario teórico. No equivale al saldo real si hay pagos parciales o atrasos.</t>
      </text>
    </comment>
    <comment authorId="0" ref="N558">
      <text>
        <t xml:space="preserve">Suma de pagos válidos del mismo ID y cuota con fecha igual o anterior al corte.</t>
      </text>
    </comment>
    <comment authorId="0" ref="O558">
      <text>
        <t xml:space="preserve">MIN(amortización pactada; MAX(0; pagado − cargos − interés)). No imputa excedentes a otras cuotas.</t>
      </text>
    </comment>
    <comment authorId="0" ref="P558">
      <text>
        <t xml:space="preserve">MAX(0; total pactado − pagado a esta cuota). Incluye capital, interés y cargos pendientes de ESA cuota.</t>
      </text>
    </comment>
    <comment authorId="0" ref="Q558">
      <text>
        <t xml:space="preserve">Días desde vencimiento hasta corte, solo si venció antes del corte y sigue con saldo.</t>
      </text>
    </comment>
    <comment authorId="0" ref="R558">
      <text>
        <t xml:space="preserve">MAX(0; pagado − cuota pactada). Exceso para revisar: no se traspasa a otra cuota.</t>
      </text>
    </comment>
    <comment authorId="0" ref="C30">
      <text>
        <t xml:space="preserve">Crédito al que corresponde esta cuota.</t>
      </text>
    </comment>
    <comment authorId="0" ref="S558">
      <text>
        <t xml:space="preserve">Pagada, Vencida, Vence hoy, Por vencer o Exceso sin imputar según fecha y saldo al corte.</t>
      </text>
    </comment>
    <comment authorId="0" ref="D30">
      <text>
        <t xml:space="preserve">Número de cuota dentro del crédito.</t>
      </text>
    </comment>
    <comment authorId="0" ref="T558">
      <text>
        <t xml:space="preserve">Auxiliar para encontrar la primera cuota pendiente. El 999999 indica que esta cuota no tiene saldo pendiente o está fuera del plazo, y no es una fecha real.</t>
      </text>
    </comment>
    <comment authorId="0" ref="E30">
      <text>
        <t xml:space="preserve">Fecha según EDATE a partir del primer vencimiento. No ajusta automáticamente feriados.</t>
      </text>
    </comment>
    <comment authorId="0" ref="F30">
      <text>
        <t xml:space="preserve">Capital al inicio del período en el calendario ORIGINAL, sin recalcular por pagos reales.</t>
      </text>
    </comment>
    <comment authorId="0" ref="G30">
      <text>
        <t xml:space="preserve">Tasa efectiva del mes según la base ingresada.</t>
      </text>
    </comment>
    <comment authorId="0" ref="H30">
      <text>
        <t xml:space="preserve">Interés del período = capital inicial × tasa mensual, redondeado a dos decimales.</t>
      </text>
    </comment>
    <comment authorId="0" ref="I30">
      <text>
        <t xml:space="preserve">Capital e interés pactados. La última cuota ajusta el saldo por redondeo.</t>
      </text>
    </comment>
    <comment authorId="0" ref="J30">
      <text>
        <t xml:space="preserve">Capital amortizado TEÓRICO = cuota base − interés, limitado al saldo.</t>
      </text>
    </comment>
    <comment authorId="0" ref="K30">
      <text>
        <t xml:space="preserve">Seguro y otros cargos fijos del mes.</t>
      </text>
    </comment>
    <comment authorId="0" ref="L30">
      <text>
        <t xml:space="preserve">Cuota base + cargos.</t>
      </text>
    </comment>
    <comment authorId="0" ref="M30">
      <text>
        <t xml:space="preserve">Capital final del calendario teórico. No equivale al saldo real si hay pagos parciales o atrasos.</t>
      </text>
    </comment>
    <comment authorId="0" ref="N30">
      <text>
        <t xml:space="preserve">Suma de pagos válidos del mismo ID y cuota con fecha igual o anterior al corte.</t>
      </text>
    </comment>
    <comment authorId="0" ref="O30">
      <text>
        <t xml:space="preserve">MIN(amortización pactada; MAX(0; pagado − cargos − interés)). No imputa excedentes a otras cuotas.</t>
      </text>
    </comment>
    <comment authorId="0" ref="P30">
      <text>
        <t xml:space="preserve">MAX(0; total pactado − pagado a esta cuota). Incluye capital, interés y cargos pendientes de ESA cuota.</t>
      </text>
    </comment>
    <comment authorId="0" ref="Q30">
      <text>
        <t xml:space="preserve">Días desde vencimiento hasta corte, solo si venció antes del corte y sigue con saldo.</t>
      </text>
    </comment>
    <comment authorId="0" ref="R30">
      <text>
        <t xml:space="preserve">MAX(0; pagado − cuota pactada). Exceso para revisar: no se traspasa a otra cuota.</t>
      </text>
    </comment>
    <comment authorId="0" ref="C559">
      <text>
        <t xml:space="preserve">Crédito al que corresponde esta cuota.</t>
      </text>
    </comment>
    <comment authorId="0" ref="S30">
      <text>
        <t xml:space="preserve">Pagada, Vencida, Vence hoy, Por vencer o Exceso sin imputar según fecha y saldo al corte.</t>
      </text>
    </comment>
    <comment authorId="0" ref="D559">
      <text>
        <t xml:space="preserve">Número de cuota dentro del crédito.</t>
      </text>
    </comment>
    <comment authorId="0" ref="T30">
      <text>
        <t xml:space="preserve">Auxiliar para encontrar la primera cuota pendiente. El 999999 indica que esta cuota no tiene saldo pendiente o está fuera del plazo, y no es una fecha real.</t>
      </text>
    </comment>
    <comment authorId="0" ref="E559">
      <text>
        <t xml:space="preserve">Fecha según EDATE a partir del primer vencimiento. No ajusta automáticamente feriados.</t>
      </text>
    </comment>
    <comment authorId="0" ref="F559">
      <text>
        <t xml:space="preserve">Capital al inicio del período en el calendario ORIGINAL, sin recalcular por pagos reales.</t>
      </text>
    </comment>
    <comment authorId="0" ref="G559">
      <text>
        <t xml:space="preserve">Tasa efectiva del mes según la base ingresada.</t>
      </text>
    </comment>
    <comment authorId="0" ref="H559">
      <text>
        <t xml:space="preserve">Interés del período = capital inicial × tasa mensual, redondeado a dos decimales.</t>
      </text>
    </comment>
    <comment authorId="0" ref="I559">
      <text>
        <t xml:space="preserve">Capital e interés pactados. La última cuota ajusta el saldo por redondeo.</t>
      </text>
    </comment>
    <comment authorId="0" ref="J559">
      <text>
        <t xml:space="preserve">Capital amortizado TEÓRICO = cuota base − interés, limitado al saldo.</t>
      </text>
    </comment>
    <comment authorId="0" ref="K559">
      <text>
        <t xml:space="preserve">Seguro y otros cargos fijos del mes.</t>
      </text>
    </comment>
    <comment authorId="0" ref="L559">
      <text>
        <t xml:space="preserve">Cuota base + cargos.</t>
      </text>
    </comment>
    <comment authorId="0" ref="M559">
      <text>
        <t xml:space="preserve">Capital final del calendario teórico. No equivale al saldo real si hay pagos parciales o atrasos.</t>
      </text>
    </comment>
    <comment authorId="0" ref="N559">
      <text>
        <t xml:space="preserve">Suma de pagos válidos del mismo ID y cuota con fecha igual o anterior al corte.</t>
      </text>
    </comment>
    <comment authorId="0" ref="O559">
      <text>
        <t xml:space="preserve">MIN(amortización pactada; MAX(0; pagado − cargos − interés)). No imputa excedentes a otras cuotas.</t>
      </text>
    </comment>
    <comment authorId="0" ref="P559">
      <text>
        <t xml:space="preserve">MAX(0; total pactado − pagado a esta cuota). Incluye capital, interés y cargos pendientes de ESA cuota.</t>
      </text>
    </comment>
    <comment authorId="0" ref="Q559">
      <text>
        <t xml:space="preserve">Días desde vencimiento hasta corte, solo si venció antes del corte y sigue con saldo.</t>
      </text>
    </comment>
    <comment authorId="0" ref="R559">
      <text>
        <t xml:space="preserve">MAX(0; pagado − cuota pactada). Exceso para revisar: no se traspasa a otra cuota.</t>
      </text>
    </comment>
    <comment authorId="0" ref="C31">
      <text>
        <t xml:space="preserve">Crédito al que corresponde esta cuota.</t>
      </text>
    </comment>
    <comment authorId="0" ref="S559">
      <text>
        <t xml:space="preserve">Pagada, Vencida, Vence hoy, Por vencer o Exceso sin imputar según fecha y saldo al corte.</t>
      </text>
    </comment>
    <comment authorId="0" ref="D31">
      <text>
        <t xml:space="preserve">Número de cuota dentro del crédito.</t>
      </text>
    </comment>
    <comment authorId="0" ref="T559">
      <text>
        <t xml:space="preserve">Auxiliar para encontrar la primera cuota pendiente. El 999999 indica que esta cuota no tiene saldo pendiente o está fuera del plazo, y no es una fecha real.</t>
      </text>
    </comment>
    <comment authorId="0" ref="E31">
      <text>
        <t xml:space="preserve">Fecha según EDATE a partir del primer vencimiento. No ajusta automáticamente feriados.</t>
      </text>
    </comment>
    <comment authorId="0" ref="F31">
      <text>
        <t xml:space="preserve">Capital al inicio del período en el calendario ORIGINAL, sin recalcular por pagos reales.</t>
      </text>
    </comment>
    <comment authorId="0" ref="G31">
      <text>
        <t xml:space="preserve">Tasa efectiva del mes según la base ingresada.</t>
      </text>
    </comment>
    <comment authorId="0" ref="H31">
      <text>
        <t xml:space="preserve">Interés del período = capital inicial × tasa mensual, redondeado a dos decimales.</t>
      </text>
    </comment>
    <comment authorId="0" ref="I31">
      <text>
        <t xml:space="preserve">Capital e interés pactados. La última cuota ajusta el saldo por redondeo.</t>
      </text>
    </comment>
    <comment authorId="0" ref="J31">
      <text>
        <t xml:space="preserve">Capital amortizado TEÓRICO = cuota base − interés, limitado al saldo.</t>
      </text>
    </comment>
    <comment authorId="0" ref="K31">
      <text>
        <t xml:space="preserve">Seguro y otros cargos fijos del mes.</t>
      </text>
    </comment>
    <comment authorId="0" ref="L31">
      <text>
        <t xml:space="preserve">Cuota base + cargos.</t>
      </text>
    </comment>
    <comment authorId="0" ref="M31">
      <text>
        <t xml:space="preserve">Capital final del calendario teórico. No equivale al saldo real si hay pagos parciales o atrasos.</t>
      </text>
    </comment>
    <comment authorId="0" ref="N31">
      <text>
        <t xml:space="preserve">Suma de pagos válidos del mismo ID y cuota con fecha igual o anterior al corte.</t>
      </text>
    </comment>
    <comment authorId="0" ref="O31">
      <text>
        <t xml:space="preserve">MIN(amortización pactada; MAX(0; pagado − cargos − interés)). No imputa excedentes a otras cuotas.</t>
      </text>
    </comment>
    <comment authorId="0" ref="P31">
      <text>
        <t xml:space="preserve">MAX(0; total pactado − pagado a esta cuota). Incluye capital, interés y cargos pendientes de ESA cuota.</t>
      </text>
    </comment>
    <comment authorId="0" ref="Q31">
      <text>
        <t xml:space="preserve">Días desde vencimiento hasta corte, solo si venció antes del corte y sigue con saldo.</t>
      </text>
    </comment>
    <comment authorId="0" ref="R31">
      <text>
        <t xml:space="preserve">MAX(0; pagado − cuota pactada). Exceso para revisar: no se traspasa a otra cuota.</t>
      </text>
    </comment>
    <comment authorId="0" ref="C560">
      <text>
        <t xml:space="preserve">Crédito al que corresponde esta cuota.</t>
      </text>
    </comment>
    <comment authorId="0" ref="S31">
      <text>
        <t xml:space="preserve">Pagada, Vencida, Vence hoy, Por vencer o Exceso sin imputar según fecha y saldo al corte.</t>
      </text>
    </comment>
    <comment authorId="0" ref="D560">
      <text>
        <t xml:space="preserve">Número de cuota dentro del crédito.</t>
      </text>
    </comment>
    <comment authorId="0" ref="T31">
      <text>
        <t xml:space="preserve">Auxiliar para encontrar la primera cuota pendiente. El 999999 indica que esta cuota no tiene saldo pendiente o está fuera del plazo, y no es una fecha real.</t>
      </text>
    </comment>
    <comment authorId="0" ref="E560">
      <text>
        <t xml:space="preserve">Fecha según EDATE a partir del primer vencimiento. No ajusta automáticamente feriados.</t>
      </text>
    </comment>
    <comment authorId="0" ref="F560">
      <text>
        <t xml:space="preserve">Capital al inicio del período en el calendario ORIGINAL, sin recalcular por pagos reales.</t>
      </text>
    </comment>
    <comment authorId="0" ref="G560">
      <text>
        <t xml:space="preserve">Tasa efectiva del mes según la base ingresada.</t>
      </text>
    </comment>
    <comment authorId="0" ref="H560">
      <text>
        <t xml:space="preserve">Interés del período = capital inicial × tasa mensual, redondeado a dos decimales.</t>
      </text>
    </comment>
    <comment authorId="0" ref="I560">
      <text>
        <t xml:space="preserve">Capital e interés pactados. La última cuota ajusta el saldo por redondeo.</t>
      </text>
    </comment>
    <comment authorId="0" ref="J560">
      <text>
        <t xml:space="preserve">Capital amortizado TEÓRICO = cuota base − interés, limitado al saldo.</t>
      </text>
    </comment>
    <comment authorId="0" ref="K560">
      <text>
        <t xml:space="preserve">Seguro y otros cargos fijos del mes.</t>
      </text>
    </comment>
    <comment authorId="0" ref="L560">
      <text>
        <t xml:space="preserve">Cuota base + cargos.</t>
      </text>
    </comment>
    <comment authorId="0" ref="M560">
      <text>
        <t xml:space="preserve">Capital final del calendario teórico. No equivale al saldo real si hay pagos parciales o atrasos.</t>
      </text>
    </comment>
    <comment authorId="0" ref="N560">
      <text>
        <t xml:space="preserve">Suma de pagos válidos del mismo ID y cuota con fecha igual o anterior al corte.</t>
      </text>
    </comment>
    <comment authorId="0" ref="O560">
      <text>
        <t xml:space="preserve">MIN(amortización pactada; MAX(0; pagado − cargos − interés)). No imputa excedentes a otras cuotas.</t>
      </text>
    </comment>
    <comment authorId="0" ref="P560">
      <text>
        <t xml:space="preserve">MAX(0; total pactado − pagado a esta cuota). Incluye capital, interés y cargos pendientes de ESA cuota.</t>
      </text>
    </comment>
    <comment authorId="0" ref="Q560">
      <text>
        <t xml:space="preserve">Días desde vencimiento hasta corte, solo si venció antes del corte y sigue con saldo.</t>
      </text>
    </comment>
    <comment authorId="0" ref="R560">
      <text>
        <t xml:space="preserve">MAX(0; pagado − cuota pactada). Exceso para revisar: no se traspasa a otra cuota.</t>
      </text>
    </comment>
    <comment authorId="0" ref="C32">
      <text>
        <t xml:space="preserve">Crédito al que corresponde esta cuota.</t>
      </text>
    </comment>
    <comment authorId="0" ref="S560">
      <text>
        <t xml:space="preserve">Pagada, Vencida, Vence hoy, Por vencer o Exceso sin imputar según fecha y saldo al corte.</t>
      </text>
    </comment>
    <comment authorId="0" ref="D32">
      <text>
        <t xml:space="preserve">Número de cuota dentro del crédito.</t>
      </text>
    </comment>
    <comment authorId="0" ref="T560">
      <text>
        <t xml:space="preserve">Auxiliar para encontrar la primera cuota pendiente. El 999999 indica que esta cuota no tiene saldo pendiente o está fuera del plazo, y no es una fecha real.</t>
      </text>
    </comment>
    <comment authorId="0" ref="E32">
      <text>
        <t xml:space="preserve">Fecha según EDATE a partir del primer vencimiento. No ajusta automáticamente feriados.</t>
      </text>
    </comment>
    <comment authorId="0" ref="F32">
      <text>
        <t xml:space="preserve">Capital al inicio del período en el calendario ORIGINAL, sin recalcular por pagos reales.</t>
      </text>
    </comment>
    <comment authorId="0" ref="G32">
      <text>
        <t xml:space="preserve">Tasa efectiva del mes según la base ingresada.</t>
      </text>
    </comment>
    <comment authorId="0" ref="H32">
      <text>
        <t xml:space="preserve">Interés del período = capital inicial × tasa mensual, redondeado a dos decimales.</t>
      </text>
    </comment>
    <comment authorId="0" ref="I32">
      <text>
        <t xml:space="preserve">Capital e interés pactados. La última cuota ajusta el saldo por redondeo.</t>
      </text>
    </comment>
    <comment authorId="0" ref="J32">
      <text>
        <t xml:space="preserve">Capital amortizado TEÓRICO = cuota base − interés, limitado al saldo.</t>
      </text>
    </comment>
    <comment authorId="0" ref="K32">
      <text>
        <t xml:space="preserve">Seguro y otros cargos fijos del mes.</t>
      </text>
    </comment>
    <comment authorId="0" ref="L32">
      <text>
        <t xml:space="preserve">Cuota base + cargos.</t>
      </text>
    </comment>
    <comment authorId="0" ref="M32">
      <text>
        <t xml:space="preserve">Capital final del calendario teórico. No equivale al saldo real si hay pagos parciales o atrasos.</t>
      </text>
    </comment>
    <comment authorId="0" ref="N32">
      <text>
        <t xml:space="preserve">Suma de pagos válidos del mismo ID y cuota con fecha igual o anterior al corte.</t>
      </text>
    </comment>
    <comment authorId="0" ref="O32">
      <text>
        <t xml:space="preserve">MIN(amortización pactada; MAX(0; pagado − cargos − interés)). No imputa excedentes a otras cuotas.</t>
      </text>
    </comment>
    <comment authorId="0" ref="P32">
      <text>
        <t xml:space="preserve">MAX(0; total pactado − pagado a esta cuota). Incluye capital, interés y cargos pendientes de ESA cuota.</t>
      </text>
    </comment>
    <comment authorId="0" ref="Q32">
      <text>
        <t xml:space="preserve">Días desde vencimiento hasta corte, solo si venció antes del corte y sigue con saldo.</t>
      </text>
    </comment>
    <comment authorId="0" ref="R32">
      <text>
        <t xml:space="preserve">MAX(0; pagado − cuota pactada). Exceso para revisar: no se traspasa a otra cuota.</t>
      </text>
    </comment>
    <comment authorId="0" ref="C561">
      <text>
        <t xml:space="preserve">Crédito al que corresponde esta cuota.</t>
      </text>
    </comment>
    <comment authorId="0" ref="S32">
      <text>
        <t xml:space="preserve">Pagada, Vencida, Vence hoy, Por vencer o Exceso sin imputar según fecha y saldo al corte.</t>
      </text>
    </comment>
    <comment authorId="0" ref="D561">
      <text>
        <t xml:space="preserve">Número de cuota dentro del crédito.</t>
      </text>
    </comment>
    <comment authorId="0" ref="T32">
      <text>
        <t xml:space="preserve">Auxiliar para encontrar la primera cuota pendiente. El 999999 indica que esta cuota no tiene saldo pendiente o está fuera del plazo, y no es una fecha real.</t>
      </text>
    </comment>
    <comment authorId="0" ref="E561">
      <text>
        <t xml:space="preserve">Fecha según EDATE a partir del primer vencimiento. No ajusta automáticamente feriados.</t>
      </text>
    </comment>
    <comment authorId="0" ref="F561">
      <text>
        <t xml:space="preserve">Capital al inicio del período en el calendario ORIGINAL, sin recalcular por pagos reales.</t>
      </text>
    </comment>
    <comment authorId="0" ref="G561">
      <text>
        <t xml:space="preserve">Tasa efectiva del mes según la base ingresada.</t>
      </text>
    </comment>
    <comment authorId="0" ref="H561">
      <text>
        <t xml:space="preserve">Interés del período = capital inicial × tasa mensual, redondeado a dos decimales.</t>
      </text>
    </comment>
    <comment authorId="0" ref="I561">
      <text>
        <t xml:space="preserve">Capital e interés pactados. La última cuota ajusta el saldo por redondeo.</t>
      </text>
    </comment>
    <comment authorId="0" ref="J561">
      <text>
        <t xml:space="preserve">Capital amortizado TEÓRICO = cuota base − interés, limitado al saldo.</t>
      </text>
    </comment>
    <comment authorId="0" ref="K561">
      <text>
        <t xml:space="preserve">Seguro y otros cargos fijos del mes.</t>
      </text>
    </comment>
    <comment authorId="0" ref="L561">
      <text>
        <t xml:space="preserve">Cuota base + cargos.</t>
      </text>
    </comment>
    <comment authorId="0" ref="M561">
      <text>
        <t xml:space="preserve">Capital final del calendario teórico. No equivale al saldo real si hay pagos parciales o atrasos.</t>
      </text>
    </comment>
    <comment authorId="0" ref="N561">
      <text>
        <t xml:space="preserve">Suma de pagos válidos del mismo ID y cuota con fecha igual o anterior al corte.</t>
      </text>
    </comment>
    <comment authorId="0" ref="O561">
      <text>
        <t xml:space="preserve">MIN(amortización pactada; MAX(0; pagado − cargos − interés)). No imputa excedentes a otras cuotas.</t>
      </text>
    </comment>
    <comment authorId="0" ref="P561">
      <text>
        <t xml:space="preserve">MAX(0; total pactado − pagado a esta cuota). Incluye capital, interés y cargos pendientes de ESA cuota.</t>
      </text>
    </comment>
    <comment authorId="0" ref="Q561">
      <text>
        <t xml:space="preserve">Días desde vencimiento hasta corte, solo si venció antes del corte y sigue con saldo.</t>
      </text>
    </comment>
    <comment authorId="0" ref="R561">
      <text>
        <t xml:space="preserve">MAX(0; pagado − cuota pactada). Exceso para revisar: no se traspasa a otra cuota.</t>
      </text>
    </comment>
    <comment authorId="0" ref="C33">
      <text>
        <t xml:space="preserve">Crédito al que corresponde esta cuota.</t>
      </text>
    </comment>
    <comment authorId="0" ref="S561">
      <text>
        <t xml:space="preserve">Pagada, Vencida, Vence hoy, Por vencer o Exceso sin imputar según fecha y saldo al corte.</t>
      </text>
    </comment>
    <comment authorId="0" ref="D33">
      <text>
        <t xml:space="preserve">Número de cuota dentro del crédito.</t>
      </text>
    </comment>
    <comment authorId="0" ref="T561">
      <text>
        <t xml:space="preserve">Auxiliar para encontrar la primera cuota pendiente. El 999999 indica que esta cuota no tiene saldo pendiente o está fuera del plazo, y no es una fecha real.</t>
      </text>
    </comment>
    <comment authorId="0" ref="E33">
      <text>
        <t xml:space="preserve">Fecha según EDATE a partir del primer vencimiento. No ajusta automáticamente feriados.</t>
      </text>
    </comment>
    <comment authorId="0" ref="F33">
      <text>
        <t xml:space="preserve">Capital al inicio del período en el calendario ORIGINAL, sin recalcular por pagos reales.</t>
      </text>
    </comment>
    <comment authorId="0" ref="G33">
      <text>
        <t xml:space="preserve">Tasa efectiva del mes según la base ingresada.</t>
      </text>
    </comment>
    <comment authorId="0" ref="H33">
      <text>
        <t xml:space="preserve">Interés del período = capital inicial × tasa mensual, redondeado a dos decimales.</t>
      </text>
    </comment>
    <comment authorId="0" ref="I33">
      <text>
        <t xml:space="preserve">Capital e interés pactados. La última cuota ajusta el saldo por redondeo.</t>
      </text>
    </comment>
    <comment authorId="0" ref="J33">
      <text>
        <t xml:space="preserve">Capital amortizado TEÓRICO = cuota base − interés, limitado al saldo.</t>
      </text>
    </comment>
    <comment authorId="0" ref="K33">
      <text>
        <t xml:space="preserve">Seguro y otros cargos fijos del mes.</t>
      </text>
    </comment>
    <comment authorId="0" ref="L33">
      <text>
        <t xml:space="preserve">Cuota base + cargos.</t>
      </text>
    </comment>
    <comment authorId="0" ref="M33">
      <text>
        <t xml:space="preserve">Capital final del calendario teórico. No equivale al saldo real si hay pagos parciales o atrasos.</t>
      </text>
    </comment>
    <comment authorId="0" ref="N33">
      <text>
        <t xml:space="preserve">Suma de pagos válidos del mismo ID y cuota con fecha igual o anterior al corte.</t>
      </text>
    </comment>
    <comment authorId="0" ref="O33">
      <text>
        <t xml:space="preserve">MIN(amortización pactada; MAX(0; pagado − cargos − interés)). No imputa excedentes a otras cuotas.</t>
      </text>
    </comment>
    <comment authorId="0" ref="P33">
      <text>
        <t xml:space="preserve">MAX(0; total pactado − pagado a esta cuota). Incluye capital, interés y cargos pendientes de ESA cuota.</t>
      </text>
    </comment>
    <comment authorId="0" ref="Q33">
      <text>
        <t xml:space="preserve">Días desde vencimiento hasta corte, solo si venció antes del corte y sigue con saldo.</t>
      </text>
    </comment>
    <comment authorId="0" ref="R33">
      <text>
        <t xml:space="preserve">MAX(0; pagado − cuota pactada). Exceso para revisar: no se traspasa a otra cuota.</t>
      </text>
    </comment>
    <comment authorId="0" ref="C562">
      <text>
        <t xml:space="preserve">Crédito al que corresponde esta cuota.</t>
      </text>
    </comment>
    <comment authorId="0" ref="S33">
      <text>
        <t xml:space="preserve">Pagada, Vencida, Vence hoy, Por vencer o Exceso sin imputar según fecha y saldo al corte.</t>
      </text>
    </comment>
    <comment authorId="0" ref="D562">
      <text>
        <t xml:space="preserve">Número de cuota dentro del crédito.</t>
      </text>
    </comment>
    <comment authorId="0" ref="T33">
      <text>
        <t xml:space="preserve">Auxiliar para encontrar la primera cuota pendiente. El 999999 indica que esta cuota no tiene saldo pendiente o está fuera del plazo, y no es una fecha real.</t>
      </text>
    </comment>
    <comment authorId="0" ref="E562">
      <text>
        <t xml:space="preserve">Fecha según EDATE a partir del primer vencimiento. No ajusta automáticamente feriados.</t>
      </text>
    </comment>
    <comment authorId="0" ref="F562">
      <text>
        <t xml:space="preserve">Capital al inicio del período en el calendario ORIGINAL, sin recalcular por pagos reales.</t>
      </text>
    </comment>
    <comment authorId="0" ref="G562">
      <text>
        <t xml:space="preserve">Tasa efectiva del mes según la base ingresada.</t>
      </text>
    </comment>
    <comment authorId="0" ref="H562">
      <text>
        <t xml:space="preserve">Interés del período = capital inicial × tasa mensual, redondeado a dos decimales.</t>
      </text>
    </comment>
    <comment authorId="0" ref="I562">
      <text>
        <t xml:space="preserve">Capital e interés pactados. La última cuota ajusta el saldo por redondeo.</t>
      </text>
    </comment>
    <comment authorId="0" ref="J562">
      <text>
        <t xml:space="preserve">Capital amortizado TEÓRICO = cuota base − interés, limitado al saldo.</t>
      </text>
    </comment>
    <comment authorId="0" ref="K562">
      <text>
        <t xml:space="preserve">Seguro y otros cargos fijos del mes.</t>
      </text>
    </comment>
    <comment authorId="0" ref="L562">
      <text>
        <t xml:space="preserve">Cuota base + cargos.</t>
      </text>
    </comment>
    <comment authorId="0" ref="M562">
      <text>
        <t xml:space="preserve">Capital final del calendario teórico. No equivale al saldo real si hay pagos parciales o atrasos.</t>
      </text>
    </comment>
    <comment authorId="0" ref="N562">
      <text>
        <t xml:space="preserve">Suma de pagos válidos del mismo ID y cuota con fecha igual o anterior al corte.</t>
      </text>
    </comment>
    <comment authorId="0" ref="O562">
      <text>
        <t xml:space="preserve">MIN(amortización pactada; MAX(0; pagado − cargos − interés)). No imputa excedentes a otras cuotas.</t>
      </text>
    </comment>
    <comment authorId="0" ref="P562">
      <text>
        <t xml:space="preserve">MAX(0; total pactado − pagado a esta cuota). Incluye capital, interés y cargos pendientes de ESA cuota.</t>
      </text>
    </comment>
    <comment authorId="0" ref="Q562">
      <text>
        <t xml:space="preserve">Días desde vencimiento hasta corte, solo si venció antes del corte y sigue con saldo.</t>
      </text>
    </comment>
    <comment authorId="0" ref="R562">
      <text>
        <t xml:space="preserve">MAX(0; pagado − cuota pactada). Exceso para revisar: no se traspasa a otra cuota.</t>
      </text>
    </comment>
    <comment authorId="0" ref="C34">
      <text>
        <t xml:space="preserve">Crédito al que corresponde esta cuota.</t>
      </text>
    </comment>
    <comment authorId="0" ref="S562">
      <text>
        <t xml:space="preserve">Pagada, Vencida, Vence hoy, Por vencer o Exceso sin imputar según fecha y saldo al corte.</t>
      </text>
    </comment>
    <comment authorId="0" ref="D34">
      <text>
        <t xml:space="preserve">Número de cuota dentro del crédito.</t>
      </text>
    </comment>
    <comment authorId="0" ref="T562">
      <text>
        <t xml:space="preserve">Auxiliar para encontrar la primera cuota pendiente. El 999999 indica que esta cuota no tiene saldo pendiente o está fuera del plazo, y no es una fecha real.</t>
      </text>
    </comment>
    <comment authorId="0" ref="E34">
      <text>
        <t xml:space="preserve">Fecha según EDATE a partir del primer vencimiento. No ajusta automáticamente feriados.</t>
      </text>
    </comment>
    <comment authorId="0" ref="F34">
      <text>
        <t xml:space="preserve">Capital al inicio del período en el calendario ORIGINAL, sin recalcular por pagos reales.</t>
      </text>
    </comment>
    <comment authorId="0" ref="G34">
      <text>
        <t xml:space="preserve">Tasa efectiva del mes según la base ingresada.</t>
      </text>
    </comment>
    <comment authorId="0" ref="H34">
      <text>
        <t xml:space="preserve">Interés del período = capital inicial × tasa mensual, redondeado a dos decimales.</t>
      </text>
    </comment>
    <comment authorId="0" ref="I34">
      <text>
        <t xml:space="preserve">Capital e interés pactados. La última cuota ajusta el saldo por redondeo.</t>
      </text>
    </comment>
    <comment authorId="0" ref="J34">
      <text>
        <t xml:space="preserve">Capital amortizado TEÓRICO = cuota base − interés, limitado al saldo.</t>
      </text>
    </comment>
    <comment authorId="0" ref="K34">
      <text>
        <t xml:space="preserve">Seguro y otros cargos fijos del mes.</t>
      </text>
    </comment>
    <comment authorId="0" ref="L34">
      <text>
        <t xml:space="preserve">Cuota base + cargos.</t>
      </text>
    </comment>
    <comment authorId="0" ref="M34">
      <text>
        <t xml:space="preserve">Capital final del calendario teórico. No equivale al saldo real si hay pagos parciales o atrasos.</t>
      </text>
    </comment>
    <comment authorId="0" ref="N34">
      <text>
        <t xml:space="preserve">Suma de pagos válidos del mismo ID y cuota con fecha igual o anterior al corte.</t>
      </text>
    </comment>
    <comment authorId="0" ref="O34">
      <text>
        <t xml:space="preserve">MIN(amortización pactada; MAX(0; pagado − cargos − interés)). No imputa excedentes a otras cuotas.</t>
      </text>
    </comment>
    <comment authorId="0" ref="P34">
      <text>
        <t xml:space="preserve">MAX(0; total pactado − pagado a esta cuota). Incluye capital, interés y cargos pendientes de ESA cuota.</t>
      </text>
    </comment>
    <comment authorId="0" ref="Q34">
      <text>
        <t xml:space="preserve">Días desde vencimiento hasta corte, solo si venció antes del corte y sigue con saldo.</t>
      </text>
    </comment>
    <comment authorId="0" ref="R34">
      <text>
        <t xml:space="preserve">MAX(0; pagado − cuota pactada). Exceso para revisar: no se traspasa a otra cuota.</t>
      </text>
    </comment>
    <comment authorId="0" ref="C563">
      <text>
        <t xml:space="preserve">Crédito al que corresponde esta cuota.</t>
      </text>
    </comment>
    <comment authorId="0" ref="S34">
      <text>
        <t xml:space="preserve">Pagada, Vencida, Vence hoy, Por vencer o Exceso sin imputar según fecha y saldo al corte.</t>
      </text>
    </comment>
    <comment authorId="0" ref="D563">
      <text>
        <t xml:space="preserve">Número de cuota dentro del crédito.</t>
      </text>
    </comment>
    <comment authorId="0" ref="T34">
      <text>
        <t xml:space="preserve">Auxiliar para encontrar la primera cuota pendiente. El 999999 indica que esta cuota no tiene saldo pendiente o está fuera del plazo, y no es una fecha real.</t>
      </text>
    </comment>
    <comment authorId="0" ref="E563">
      <text>
        <t xml:space="preserve">Fecha según EDATE a partir del primer vencimiento. No ajusta automáticamente feriados.</t>
      </text>
    </comment>
    <comment authorId="0" ref="F563">
      <text>
        <t xml:space="preserve">Capital al inicio del período en el calendario ORIGINAL, sin recalcular por pagos reales.</t>
      </text>
    </comment>
    <comment authorId="0" ref="G563">
      <text>
        <t xml:space="preserve">Tasa efectiva del mes según la base ingresada.</t>
      </text>
    </comment>
    <comment authorId="0" ref="H563">
      <text>
        <t xml:space="preserve">Interés del período = capital inicial × tasa mensual, redondeado a dos decimales.</t>
      </text>
    </comment>
    <comment authorId="0" ref="I563">
      <text>
        <t xml:space="preserve">Capital e interés pactados. La última cuota ajusta el saldo por redondeo.</t>
      </text>
    </comment>
    <comment authorId="0" ref="J563">
      <text>
        <t xml:space="preserve">Capital amortizado TEÓRICO = cuota base − interés, limitado al saldo.</t>
      </text>
    </comment>
    <comment authorId="0" ref="K563">
      <text>
        <t xml:space="preserve">Seguro y otros cargos fijos del mes.</t>
      </text>
    </comment>
    <comment authorId="0" ref="L563">
      <text>
        <t xml:space="preserve">Cuota base + cargos.</t>
      </text>
    </comment>
    <comment authorId="0" ref="M563">
      <text>
        <t xml:space="preserve">Capital final del calendario teórico. No equivale al saldo real si hay pagos parciales o atrasos.</t>
      </text>
    </comment>
    <comment authorId="0" ref="N563">
      <text>
        <t xml:space="preserve">Suma de pagos válidos del mismo ID y cuota con fecha igual o anterior al corte.</t>
      </text>
    </comment>
    <comment authorId="0" ref="O563">
      <text>
        <t xml:space="preserve">MIN(amortización pactada; MAX(0; pagado − cargos − interés)). No imputa excedentes a otras cuotas.</t>
      </text>
    </comment>
    <comment authorId="0" ref="P563">
      <text>
        <t xml:space="preserve">MAX(0; total pactado − pagado a esta cuota). Incluye capital, interés y cargos pendientes de ESA cuota.</t>
      </text>
    </comment>
    <comment authorId="0" ref="Q563">
      <text>
        <t xml:space="preserve">Días desde vencimiento hasta corte, solo si venció antes del corte y sigue con saldo.</t>
      </text>
    </comment>
    <comment authorId="0" ref="R563">
      <text>
        <t xml:space="preserve">MAX(0; pagado − cuota pactada). Exceso para revisar: no se traspasa a otra cuota.</t>
      </text>
    </comment>
    <comment authorId="0" ref="C35">
      <text>
        <t xml:space="preserve">Crédito al que corresponde esta cuota.</t>
      </text>
    </comment>
    <comment authorId="0" ref="S563">
      <text>
        <t xml:space="preserve">Pagada, Vencida, Vence hoy, Por vencer o Exceso sin imputar según fecha y saldo al corte.</t>
      </text>
    </comment>
    <comment authorId="0" ref="D35">
      <text>
        <t xml:space="preserve">Número de cuota dentro del crédito.</t>
      </text>
    </comment>
    <comment authorId="0" ref="T563">
      <text>
        <t xml:space="preserve">Auxiliar para encontrar la primera cuota pendiente. El 999999 indica que esta cuota no tiene saldo pendiente o está fuera del plazo, y no es una fecha real.</t>
      </text>
    </comment>
    <comment authorId="0" ref="E35">
      <text>
        <t xml:space="preserve">Fecha según EDATE a partir del primer vencimiento. No ajusta automáticamente feriados.</t>
      </text>
    </comment>
    <comment authorId="0" ref="F35">
      <text>
        <t xml:space="preserve">Capital al inicio del período en el calendario ORIGINAL, sin recalcular por pagos reales.</t>
      </text>
    </comment>
    <comment authorId="0" ref="G35">
      <text>
        <t xml:space="preserve">Tasa efectiva del mes según la base ingresada.</t>
      </text>
    </comment>
    <comment authorId="0" ref="H35">
      <text>
        <t xml:space="preserve">Interés del período = capital inicial × tasa mensual, redondeado a dos decimales.</t>
      </text>
    </comment>
    <comment authorId="0" ref="I35">
      <text>
        <t xml:space="preserve">Capital e interés pactados. La última cuota ajusta el saldo por redondeo.</t>
      </text>
    </comment>
    <comment authorId="0" ref="J35">
      <text>
        <t xml:space="preserve">Capital amortizado TEÓRICO = cuota base − interés, limitado al saldo.</t>
      </text>
    </comment>
    <comment authorId="0" ref="K35">
      <text>
        <t xml:space="preserve">Seguro y otros cargos fijos del mes.</t>
      </text>
    </comment>
    <comment authorId="0" ref="L35">
      <text>
        <t xml:space="preserve">Cuota base + cargos.</t>
      </text>
    </comment>
    <comment authorId="0" ref="M35">
      <text>
        <t xml:space="preserve">Capital final del calendario teórico. No equivale al saldo real si hay pagos parciales o atrasos.</t>
      </text>
    </comment>
    <comment authorId="0" ref="N35">
      <text>
        <t xml:space="preserve">Suma de pagos válidos del mismo ID y cuota con fecha igual o anterior al corte.</t>
      </text>
    </comment>
    <comment authorId="0" ref="O35">
      <text>
        <t xml:space="preserve">MIN(amortización pactada; MAX(0; pagado − cargos − interés)). No imputa excedentes a otras cuotas.</t>
      </text>
    </comment>
    <comment authorId="0" ref="P35">
      <text>
        <t xml:space="preserve">MAX(0; total pactado − pagado a esta cuota). Incluye capital, interés y cargos pendientes de ESA cuota.</t>
      </text>
    </comment>
    <comment authorId="0" ref="Q35">
      <text>
        <t xml:space="preserve">Días desde vencimiento hasta corte, solo si venció antes del corte y sigue con saldo.</t>
      </text>
    </comment>
    <comment authorId="0" ref="R35">
      <text>
        <t xml:space="preserve">MAX(0; pagado − cuota pactada). Exceso para revisar: no se traspasa a otra cuota.</t>
      </text>
    </comment>
    <comment authorId="0" ref="C564">
      <text>
        <t xml:space="preserve">Crédito al que corresponde esta cuota.</t>
      </text>
    </comment>
    <comment authorId="0" ref="S35">
      <text>
        <t xml:space="preserve">Pagada, Vencida, Vence hoy, Por vencer o Exceso sin imputar según fecha y saldo al corte.</t>
      </text>
    </comment>
    <comment authorId="0" ref="D564">
      <text>
        <t xml:space="preserve">Número de cuota dentro del crédito.</t>
      </text>
    </comment>
    <comment authorId="0" ref="T35">
      <text>
        <t xml:space="preserve">Auxiliar para encontrar la primera cuota pendiente. El 999999 indica que esta cuota no tiene saldo pendiente o está fuera del plazo, y no es una fecha real.</t>
      </text>
    </comment>
    <comment authorId="0" ref="E564">
      <text>
        <t xml:space="preserve">Fecha según EDATE a partir del primer vencimiento. No ajusta automáticamente feriados.</t>
      </text>
    </comment>
    <comment authorId="0" ref="F564">
      <text>
        <t xml:space="preserve">Capital al inicio del período en el calendario ORIGINAL, sin recalcular por pagos reales.</t>
      </text>
    </comment>
    <comment authorId="0" ref="G564">
      <text>
        <t xml:space="preserve">Tasa efectiva del mes según la base ingresada.</t>
      </text>
    </comment>
    <comment authorId="0" ref="H564">
      <text>
        <t xml:space="preserve">Interés del período = capital inicial × tasa mensual, redondeado a dos decimales.</t>
      </text>
    </comment>
    <comment authorId="0" ref="I564">
      <text>
        <t xml:space="preserve">Capital e interés pactados. La última cuota ajusta el saldo por redondeo.</t>
      </text>
    </comment>
    <comment authorId="0" ref="J564">
      <text>
        <t xml:space="preserve">Capital amortizado TEÓRICO = cuota base − interés, limitado al saldo.</t>
      </text>
    </comment>
    <comment authorId="0" ref="K564">
      <text>
        <t xml:space="preserve">Seguro y otros cargos fijos del mes.</t>
      </text>
    </comment>
    <comment authorId="0" ref="L564">
      <text>
        <t xml:space="preserve">Cuota base + cargos.</t>
      </text>
    </comment>
    <comment authorId="0" ref="M564">
      <text>
        <t xml:space="preserve">Capital final del calendario teórico. No equivale al saldo real si hay pagos parciales o atrasos.</t>
      </text>
    </comment>
    <comment authorId="0" ref="N564">
      <text>
        <t xml:space="preserve">Suma de pagos válidos del mismo ID y cuota con fecha igual o anterior al corte.</t>
      </text>
    </comment>
    <comment authorId="0" ref="O564">
      <text>
        <t xml:space="preserve">MIN(amortización pactada; MAX(0; pagado − cargos − interés)). No imputa excedentes a otras cuotas.</t>
      </text>
    </comment>
    <comment authorId="0" ref="P564">
      <text>
        <t xml:space="preserve">MAX(0; total pactado − pagado a esta cuota). Incluye capital, interés y cargos pendientes de ESA cuota.</t>
      </text>
    </comment>
    <comment authorId="0" ref="Q564">
      <text>
        <t xml:space="preserve">Días desde vencimiento hasta corte, solo si venció antes del corte y sigue con saldo.</t>
      </text>
    </comment>
    <comment authorId="0" ref="R564">
      <text>
        <t xml:space="preserve">MAX(0; pagado − cuota pactada). Exceso para revisar: no se traspasa a otra cuota.</t>
      </text>
    </comment>
    <comment authorId="0" ref="C36">
      <text>
        <t xml:space="preserve">Crédito al que corresponde esta cuota.</t>
      </text>
    </comment>
    <comment authorId="0" ref="S564">
      <text>
        <t xml:space="preserve">Pagada, Vencida, Vence hoy, Por vencer o Exceso sin imputar según fecha y saldo al corte.</t>
      </text>
    </comment>
    <comment authorId="0" ref="D36">
      <text>
        <t xml:space="preserve">Número de cuota dentro del crédito.</t>
      </text>
    </comment>
    <comment authorId="0" ref="T564">
      <text>
        <t xml:space="preserve">Auxiliar para encontrar la primera cuota pendiente. El 999999 indica que esta cuota no tiene saldo pendiente o está fuera del plazo, y no es una fecha real.</t>
      </text>
    </comment>
    <comment authorId="0" ref="E36">
      <text>
        <t xml:space="preserve">Fecha según EDATE a partir del primer vencimiento. No ajusta automáticamente feriados.</t>
      </text>
    </comment>
    <comment authorId="0" ref="F36">
      <text>
        <t xml:space="preserve">Capital al inicio del período en el calendario ORIGINAL, sin recalcular por pagos reales.</t>
      </text>
    </comment>
    <comment authorId="0" ref="G36">
      <text>
        <t xml:space="preserve">Tasa efectiva del mes según la base ingresada.</t>
      </text>
    </comment>
    <comment authorId="0" ref="H36">
      <text>
        <t xml:space="preserve">Interés del período = capital inicial × tasa mensual, redondeado a dos decimales.</t>
      </text>
    </comment>
    <comment authorId="0" ref="I36">
      <text>
        <t xml:space="preserve">Capital e interés pactados. La última cuota ajusta el saldo por redondeo.</t>
      </text>
    </comment>
    <comment authorId="0" ref="J36">
      <text>
        <t xml:space="preserve">Capital amortizado TEÓRICO = cuota base − interés, limitado al saldo.</t>
      </text>
    </comment>
    <comment authorId="0" ref="K36">
      <text>
        <t xml:space="preserve">Seguro y otros cargos fijos del mes.</t>
      </text>
    </comment>
    <comment authorId="0" ref="L36">
      <text>
        <t xml:space="preserve">Cuota base + cargos.</t>
      </text>
    </comment>
    <comment authorId="0" ref="M36">
      <text>
        <t xml:space="preserve">Capital final del calendario teórico. No equivale al saldo real si hay pagos parciales o atrasos.</t>
      </text>
    </comment>
    <comment authorId="0" ref="N36">
      <text>
        <t xml:space="preserve">Suma de pagos válidos del mismo ID y cuota con fecha igual o anterior al corte.</t>
      </text>
    </comment>
    <comment authorId="0" ref="O36">
      <text>
        <t xml:space="preserve">MIN(amortización pactada; MAX(0; pagado − cargos − interés)). No imputa excedentes a otras cuotas.</t>
      </text>
    </comment>
    <comment authorId="0" ref="P36">
      <text>
        <t xml:space="preserve">MAX(0; total pactado − pagado a esta cuota). Incluye capital, interés y cargos pendientes de ESA cuota.</t>
      </text>
    </comment>
    <comment authorId="0" ref="Q36">
      <text>
        <t xml:space="preserve">Días desde vencimiento hasta corte, solo si venció antes del corte y sigue con saldo.</t>
      </text>
    </comment>
    <comment authorId="0" ref="R36">
      <text>
        <t xml:space="preserve">MAX(0; pagado − cuota pactada). Exceso para revisar: no se traspasa a otra cuota.</t>
      </text>
    </comment>
    <comment authorId="0" ref="C565">
      <text>
        <t xml:space="preserve">Crédito al que corresponde esta cuota.</t>
      </text>
    </comment>
    <comment authorId="0" ref="S36">
      <text>
        <t xml:space="preserve">Pagada, Vencida, Vence hoy, Por vencer o Exceso sin imputar según fecha y saldo al corte.</t>
      </text>
    </comment>
    <comment authorId="0" ref="D565">
      <text>
        <t xml:space="preserve">Número de cuota dentro del crédito.</t>
      </text>
    </comment>
    <comment authorId="0" ref="T36">
      <text>
        <t xml:space="preserve">Auxiliar para encontrar la primera cuota pendiente. El 999999 indica que esta cuota no tiene saldo pendiente o está fuera del plazo, y no es una fecha real.</t>
      </text>
    </comment>
    <comment authorId="0" ref="E565">
      <text>
        <t xml:space="preserve">Fecha según EDATE a partir del primer vencimiento. No ajusta automáticamente feriados.</t>
      </text>
    </comment>
    <comment authorId="0" ref="F565">
      <text>
        <t xml:space="preserve">Capital al inicio del período en el calendario ORIGINAL, sin recalcular por pagos reales.</t>
      </text>
    </comment>
    <comment authorId="0" ref="G565">
      <text>
        <t xml:space="preserve">Tasa efectiva del mes según la base ingresada.</t>
      </text>
    </comment>
    <comment authorId="0" ref="H565">
      <text>
        <t xml:space="preserve">Interés del período = capital inicial × tasa mensual, redondeado a dos decimales.</t>
      </text>
    </comment>
    <comment authorId="0" ref="I565">
      <text>
        <t xml:space="preserve">Capital e interés pactados. La última cuota ajusta el saldo por redondeo.</t>
      </text>
    </comment>
    <comment authorId="0" ref="J565">
      <text>
        <t xml:space="preserve">Capital amortizado TEÓRICO = cuota base − interés, limitado al saldo.</t>
      </text>
    </comment>
    <comment authorId="0" ref="K565">
      <text>
        <t xml:space="preserve">Seguro y otros cargos fijos del mes.</t>
      </text>
    </comment>
    <comment authorId="0" ref="L565">
      <text>
        <t xml:space="preserve">Cuota base + cargos.</t>
      </text>
    </comment>
    <comment authorId="0" ref="M565">
      <text>
        <t xml:space="preserve">Capital final del calendario teórico. No equivale al saldo real si hay pagos parciales o atrasos.</t>
      </text>
    </comment>
    <comment authorId="0" ref="N565">
      <text>
        <t xml:space="preserve">Suma de pagos válidos del mismo ID y cuota con fecha igual o anterior al corte.</t>
      </text>
    </comment>
    <comment authorId="0" ref="O565">
      <text>
        <t xml:space="preserve">MIN(amortización pactada; MAX(0; pagado − cargos − interés)). No imputa excedentes a otras cuotas.</t>
      </text>
    </comment>
    <comment authorId="0" ref="P565">
      <text>
        <t xml:space="preserve">MAX(0; total pactado − pagado a esta cuota). Incluye capital, interés y cargos pendientes de ESA cuota.</t>
      </text>
    </comment>
    <comment authorId="0" ref="Q565">
      <text>
        <t xml:space="preserve">Días desde vencimiento hasta corte, solo si venció antes del corte y sigue con saldo.</t>
      </text>
    </comment>
    <comment authorId="0" ref="R565">
      <text>
        <t xml:space="preserve">MAX(0; pagado − cuota pactada). Exceso para revisar: no se traspasa a otra cuota.</t>
      </text>
    </comment>
    <comment authorId="0" ref="C37">
      <text>
        <t xml:space="preserve">Crédito al que corresponde esta cuota.</t>
      </text>
    </comment>
    <comment authorId="0" ref="S565">
      <text>
        <t xml:space="preserve">Pagada, Vencida, Vence hoy, Por vencer o Exceso sin imputar según fecha y saldo al corte.</t>
      </text>
    </comment>
    <comment authorId="0" ref="D37">
      <text>
        <t xml:space="preserve">Número de cuota dentro del crédito.</t>
      </text>
    </comment>
    <comment authorId="0" ref="T565">
      <text>
        <t xml:space="preserve">Auxiliar para encontrar la primera cuota pendiente. El 999999 indica que esta cuota no tiene saldo pendiente o está fuera del plazo, y no es una fecha real.</t>
      </text>
    </comment>
    <comment authorId="0" ref="E37">
      <text>
        <t xml:space="preserve">Fecha según EDATE a partir del primer vencimiento. No ajusta automáticamente feriados.</t>
      </text>
    </comment>
    <comment authorId="0" ref="F37">
      <text>
        <t xml:space="preserve">Capital al inicio del período en el calendario ORIGINAL, sin recalcular por pagos reales.</t>
      </text>
    </comment>
    <comment authorId="0" ref="G37">
      <text>
        <t xml:space="preserve">Tasa efectiva del mes según la base ingresada.</t>
      </text>
    </comment>
    <comment authorId="0" ref="H37">
      <text>
        <t xml:space="preserve">Interés del período = capital inicial × tasa mensual, redondeado a dos decimales.</t>
      </text>
    </comment>
    <comment authorId="0" ref="I37">
      <text>
        <t xml:space="preserve">Capital e interés pactados. La última cuota ajusta el saldo por redondeo.</t>
      </text>
    </comment>
    <comment authorId="0" ref="J37">
      <text>
        <t xml:space="preserve">Capital amortizado TEÓRICO = cuota base − interés, limitado al saldo.</t>
      </text>
    </comment>
    <comment authorId="0" ref="K37">
      <text>
        <t xml:space="preserve">Seguro y otros cargos fijos del mes.</t>
      </text>
    </comment>
    <comment authorId="0" ref="L37">
      <text>
        <t xml:space="preserve">Cuota base + cargos.</t>
      </text>
    </comment>
    <comment authorId="0" ref="M37">
      <text>
        <t xml:space="preserve">Capital final del calendario teórico. No equivale al saldo real si hay pagos parciales o atrasos.</t>
      </text>
    </comment>
    <comment authorId="0" ref="N37">
      <text>
        <t xml:space="preserve">Suma de pagos válidos del mismo ID y cuota con fecha igual o anterior al corte.</t>
      </text>
    </comment>
    <comment authorId="0" ref="O37">
      <text>
        <t xml:space="preserve">MIN(amortización pactada; MAX(0; pagado − cargos − interés)). No imputa excedentes a otras cuotas.</t>
      </text>
    </comment>
    <comment authorId="0" ref="P37">
      <text>
        <t xml:space="preserve">MAX(0; total pactado − pagado a esta cuota). Incluye capital, interés y cargos pendientes de ESA cuota.</t>
      </text>
    </comment>
    <comment authorId="0" ref="Q37">
      <text>
        <t xml:space="preserve">Días desde vencimiento hasta corte, solo si venció antes del corte y sigue con saldo.</t>
      </text>
    </comment>
    <comment authorId="0" ref="R37">
      <text>
        <t xml:space="preserve">MAX(0; pagado − cuota pactada). Exceso para revisar: no se traspasa a otra cuota.</t>
      </text>
    </comment>
    <comment authorId="0" ref="C566">
      <text>
        <t xml:space="preserve">Crédito al que corresponde esta cuota.</t>
      </text>
    </comment>
    <comment authorId="0" ref="S37">
      <text>
        <t xml:space="preserve">Pagada, Vencida, Vence hoy, Por vencer o Exceso sin imputar según fecha y saldo al corte.</t>
      </text>
    </comment>
    <comment authorId="0" ref="D566">
      <text>
        <t xml:space="preserve">Número de cuota dentro del crédito.</t>
      </text>
    </comment>
    <comment authorId="0" ref="T37">
      <text>
        <t xml:space="preserve">Auxiliar para encontrar la primera cuota pendiente. El 999999 indica que esta cuota no tiene saldo pendiente o está fuera del plazo, y no es una fecha real.</t>
      </text>
    </comment>
    <comment authorId="0" ref="E566">
      <text>
        <t xml:space="preserve">Fecha según EDATE a partir del primer vencimiento. No ajusta automáticamente feriados.</t>
      </text>
    </comment>
    <comment authorId="0" ref="F566">
      <text>
        <t xml:space="preserve">Capital al inicio del período en el calendario ORIGINAL, sin recalcular por pagos reales.</t>
      </text>
    </comment>
    <comment authorId="0" ref="G566">
      <text>
        <t xml:space="preserve">Tasa efectiva del mes según la base ingresada.</t>
      </text>
    </comment>
    <comment authorId="0" ref="H566">
      <text>
        <t xml:space="preserve">Interés del período = capital inicial × tasa mensual, redondeado a dos decimales.</t>
      </text>
    </comment>
    <comment authorId="0" ref="I566">
      <text>
        <t xml:space="preserve">Capital e interés pactados. La última cuota ajusta el saldo por redondeo.</t>
      </text>
    </comment>
    <comment authorId="0" ref="J566">
      <text>
        <t xml:space="preserve">Capital amortizado TEÓRICO = cuota base − interés, limitado al saldo.</t>
      </text>
    </comment>
    <comment authorId="0" ref="K566">
      <text>
        <t xml:space="preserve">Seguro y otros cargos fijos del mes.</t>
      </text>
    </comment>
    <comment authorId="0" ref="L566">
      <text>
        <t xml:space="preserve">Cuota base + cargos.</t>
      </text>
    </comment>
    <comment authorId="0" ref="M566">
      <text>
        <t xml:space="preserve">Capital final del calendario teórico. No equivale al saldo real si hay pagos parciales o atrasos.</t>
      </text>
    </comment>
    <comment authorId="0" ref="N566">
      <text>
        <t xml:space="preserve">Suma de pagos válidos del mismo ID y cuota con fecha igual o anterior al corte.</t>
      </text>
    </comment>
    <comment authorId="0" ref="O566">
      <text>
        <t xml:space="preserve">MIN(amortización pactada; MAX(0; pagado − cargos − interés)). No imputa excedentes a otras cuotas.</t>
      </text>
    </comment>
    <comment authorId="0" ref="P566">
      <text>
        <t xml:space="preserve">MAX(0; total pactado − pagado a esta cuota). Incluye capital, interés y cargos pendientes de ESA cuota.</t>
      </text>
    </comment>
    <comment authorId="0" ref="Q566">
      <text>
        <t xml:space="preserve">Días desde vencimiento hasta corte, solo si venció antes del corte y sigue con saldo.</t>
      </text>
    </comment>
    <comment authorId="0" ref="R566">
      <text>
        <t xml:space="preserve">MAX(0; pagado − cuota pactada). Exceso para revisar: no se traspasa a otra cuota.</t>
      </text>
    </comment>
    <comment authorId="0" ref="C38">
      <text>
        <t xml:space="preserve">Crédito al que corresponde esta cuota.</t>
      </text>
    </comment>
    <comment authorId="0" ref="S566">
      <text>
        <t xml:space="preserve">Pagada, Vencida, Vence hoy, Por vencer o Exceso sin imputar según fecha y saldo al corte.</t>
      </text>
    </comment>
    <comment authorId="0" ref="D38">
      <text>
        <t xml:space="preserve">Número de cuota dentro del crédito.</t>
      </text>
    </comment>
    <comment authorId="0" ref="T566">
      <text>
        <t xml:space="preserve">Auxiliar para encontrar la primera cuota pendiente. El 999999 indica que esta cuota no tiene saldo pendiente o está fuera del plazo, y no es una fecha real.</t>
      </text>
    </comment>
    <comment authorId="0" ref="E38">
      <text>
        <t xml:space="preserve">Fecha según EDATE a partir del primer vencimiento. No ajusta automáticamente feriados.</t>
      </text>
    </comment>
    <comment authorId="0" ref="F38">
      <text>
        <t xml:space="preserve">Capital al inicio del período en el calendario ORIGINAL, sin recalcular por pagos reales.</t>
      </text>
    </comment>
    <comment authorId="0" ref="G38">
      <text>
        <t xml:space="preserve">Tasa efectiva del mes según la base ingresada.</t>
      </text>
    </comment>
    <comment authorId="0" ref="H38">
      <text>
        <t xml:space="preserve">Interés del período = capital inicial × tasa mensual, redondeado a dos decimales.</t>
      </text>
    </comment>
    <comment authorId="0" ref="I38">
      <text>
        <t xml:space="preserve">Capital e interés pactados. La última cuota ajusta el saldo por redondeo.</t>
      </text>
    </comment>
    <comment authorId="0" ref="J38">
      <text>
        <t xml:space="preserve">Capital amortizado TEÓRICO = cuota base − interés, limitado al saldo.</t>
      </text>
    </comment>
    <comment authorId="0" ref="K38">
      <text>
        <t xml:space="preserve">Seguro y otros cargos fijos del mes.</t>
      </text>
    </comment>
    <comment authorId="0" ref="L38">
      <text>
        <t xml:space="preserve">Cuota base + cargos.</t>
      </text>
    </comment>
    <comment authorId="0" ref="M38">
      <text>
        <t xml:space="preserve">Capital final del calendario teórico. No equivale al saldo real si hay pagos parciales o atrasos.</t>
      </text>
    </comment>
    <comment authorId="0" ref="N38">
      <text>
        <t xml:space="preserve">Suma de pagos válidos del mismo ID y cuota con fecha igual o anterior al corte.</t>
      </text>
    </comment>
    <comment authorId="0" ref="O38">
      <text>
        <t xml:space="preserve">MIN(amortización pactada; MAX(0; pagado − cargos − interés)). No imputa excedentes a otras cuotas.</t>
      </text>
    </comment>
    <comment authorId="0" ref="P38">
      <text>
        <t xml:space="preserve">MAX(0; total pactado − pagado a esta cuota). Incluye capital, interés y cargos pendientes de ESA cuota.</t>
      </text>
    </comment>
    <comment authorId="0" ref="Q38">
      <text>
        <t xml:space="preserve">Días desde vencimiento hasta corte, solo si venció antes del corte y sigue con saldo.</t>
      </text>
    </comment>
    <comment authorId="0" ref="R38">
      <text>
        <t xml:space="preserve">MAX(0; pagado − cuota pactada). Exceso para revisar: no se traspasa a otra cuota.</t>
      </text>
    </comment>
    <comment authorId="0" ref="C567">
      <text>
        <t xml:space="preserve">Crédito al que corresponde esta cuota.</t>
      </text>
    </comment>
    <comment authorId="0" ref="S38">
      <text>
        <t xml:space="preserve">Pagada, Vencida, Vence hoy, Por vencer o Exceso sin imputar según fecha y saldo al corte.</t>
      </text>
    </comment>
    <comment authorId="0" ref="D567">
      <text>
        <t xml:space="preserve">Número de cuota dentro del crédito.</t>
      </text>
    </comment>
    <comment authorId="0" ref="T38">
      <text>
        <t xml:space="preserve">Auxiliar para encontrar la primera cuota pendiente. El 999999 indica que esta cuota no tiene saldo pendiente o está fuera del plazo, y no es una fecha real.</t>
      </text>
    </comment>
    <comment authorId="0" ref="E567">
      <text>
        <t xml:space="preserve">Fecha según EDATE a partir del primer vencimiento. No ajusta automáticamente feriados.</t>
      </text>
    </comment>
    <comment authorId="0" ref="F567">
      <text>
        <t xml:space="preserve">Capital al inicio del período en el calendario ORIGINAL, sin recalcular por pagos reales.</t>
      </text>
    </comment>
    <comment authorId="0" ref="G567">
      <text>
        <t xml:space="preserve">Tasa efectiva del mes según la base ingresada.</t>
      </text>
    </comment>
    <comment authorId="0" ref="H567">
      <text>
        <t xml:space="preserve">Interés del período = capital inicial × tasa mensual, redondeado a dos decimales.</t>
      </text>
    </comment>
    <comment authorId="0" ref="I567">
      <text>
        <t xml:space="preserve">Capital e interés pactados. La última cuota ajusta el saldo por redondeo.</t>
      </text>
    </comment>
    <comment authorId="0" ref="J567">
      <text>
        <t xml:space="preserve">Capital amortizado TEÓRICO = cuota base − interés, limitado al saldo.</t>
      </text>
    </comment>
    <comment authorId="0" ref="K567">
      <text>
        <t xml:space="preserve">Seguro y otros cargos fijos del mes.</t>
      </text>
    </comment>
    <comment authorId="0" ref="L567">
      <text>
        <t xml:space="preserve">Cuota base + cargos.</t>
      </text>
    </comment>
    <comment authorId="0" ref="M567">
      <text>
        <t xml:space="preserve">Capital final del calendario teórico. No equivale al saldo real si hay pagos parciales o atrasos.</t>
      </text>
    </comment>
    <comment authorId="0" ref="N567">
      <text>
        <t xml:space="preserve">Suma de pagos válidos del mismo ID y cuota con fecha igual o anterior al corte.</t>
      </text>
    </comment>
    <comment authorId="0" ref="O567">
      <text>
        <t xml:space="preserve">MIN(amortización pactada; MAX(0; pagado − cargos − interés)). No imputa excedentes a otras cuotas.</t>
      </text>
    </comment>
    <comment authorId="0" ref="P567">
      <text>
        <t xml:space="preserve">MAX(0; total pactado − pagado a esta cuota). Incluye capital, interés y cargos pendientes de ESA cuota.</t>
      </text>
    </comment>
    <comment authorId="0" ref="Q567">
      <text>
        <t xml:space="preserve">Días desde vencimiento hasta corte, solo si venció antes del corte y sigue con saldo.</t>
      </text>
    </comment>
    <comment authorId="0" ref="R567">
      <text>
        <t xml:space="preserve">MAX(0; pagado − cuota pactada). Exceso para revisar: no se traspasa a otra cuota.</t>
      </text>
    </comment>
    <comment authorId="0" ref="C39">
      <text>
        <t xml:space="preserve">Crédito al que corresponde esta cuota.</t>
      </text>
    </comment>
    <comment authorId="0" ref="S567">
      <text>
        <t xml:space="preserve">Pagada, Vencida, Vence hoy, Por vencer o Exceso sin imputar según fecha y saldo al corte.</t>
      </text>
    </comment>
    <comment authorId="0" ref="D39">
      <text>
        <t xml:space="preserve">Número de cuota dentro del crédito.</t>
      </text>
    </comment>
    <comment authorId="0" ref="T567">
      <text>
        <t xml:space="preserve">Auxiliar para encontrar la primera cuota pendiente. El 999999 indica que esta cuota no tiene saldo pendiente o está fuera del plazo, y no es una fecha real.</t>
      </text>
    </comment>
    <comment authorId="0" ref="E39">
      <text>
        <t xml:space="preserve">Fecha según EDATE a partir del primer vencimiento. No ajusta automáticamente feriados.</t>
      </text>
    </comment>
    <comment authorId="0" ref="F39">
      <text>
        <t xml:space="preserve">Capital al inicio del período en el calendario ORIGINAL, sin recalcular por pagos reales.</t>
      </text>
    </comment>
    <comment authorId="0" ref="G39">
      <text>
        <t xml:space="preserve">Tasa efectiva del mes según la base ingresada.</t>
      </text>
    </comment>
    <comment authorId="0" ref="H39">
      <text>
        <t xml:space="preserve">Interés del período = capital inicial × tasa mensual, redondeado a dos decimales.</t>
      </text>
    </comment>
    <comment authorId="0" ref="I39">
      <text>
        <t xml:space="preserve">Capital e interés pactados. La última cuota ajusta el saldo por redondeo.</t>
      </text>
    </comment>
    <comment authorId="0" ref="J39">
      <text>
        <t xml:space="preserve">Capital amortizado TEÓRICO = cuota base − interés, limitado al saldo.</t>
      </text>
    </comment>
    <comment authorId="0" ref="K39">
      <text>
        <t xml:space="preserve">Seguro y otros cargos fijos del mes.</t>
      </text>
    </comment>
    <comment authorId="0" ref="L39">
      <text>
        <t xml:space="preserve">Cuota base + cargos.</t>
      </text>
    </comment>
    <comment authorId="0" ref="M39">
      <text>
        <t xml:space="preserve">Capital final del calendario teórico. No equivale al saldo real si hay pagos parciales o atrasos.</t>
      </text>
    </comment>
    <comment authorId="0" ref="N39">
      <text>
        <t xml:space="preserve">Suma de pagos válidos del mismo ID y cuota con fecha igual o anterior al corte.</t>
      </text>
    </comment>
    <comment authorId="0" ref="O39">
      <text>
        <t xml:space="preserve">MIN(amortización pactada; MAX(0; pagado − cargos − interés)). No imputa excedentes a otras cuotas.</t>
      </text>
    </comment>
    <comment authorId="0" ref="P39">
      <text>
        <t xml:space="preserve">MAX(0; total pactado − pagado a esta cuota). Incluye capital, interés y cargos pendientes de ESA cuota.</t>
      </text>
    </comment>
    <comment authorId="0" ref="Q39">
      <text>
        <t xml:space="preserve">Días desde vencimiento hasta corte, solo si venció antes del corte y sigue con saldo.</t>
      </text>
    </comment>
    <comment authorId="0" ref="R39">
      <text>
        <t xml:space="preserve">MAX(0; pagado − cuota pactada). Exceso para revisar: no se traspasa a otra cuota.</t>
      </text>
    </comment>
    <comment authorId="0" ref="C568">
      <text>
        <t xml:space="preserve">Crédito al que corresponde esta cuota.</t>
      </text>
    </comment>
    <comment authorId="0" ref="S39">
      <text>
        <t xml:space="preserve">Pagada, Vencida, Vence hoy, Por vencer o Exceso sin imputar según fecha y saldo al corte.</t>
      </text>
    </comment>
    <comment authorId="0" ref="D568">
      <text>
        <t xml:space="preserve">Número de cuota dentro del crédito.</t>
      </text>
    </comment>
    <comment authorId="0" ref="T39">
      <text>
        <t xml:space="preserve">Auxiliar para encontrar la primera cuota pendiente. El 999999 indica que esta cuota no tiene saldo pendiente o está fuera del plazo, y no es una fecha real.</t>
      </text>
    </comment>
    <comment authorId="0" ref="E568">
      <text>
        <t xml:space="preserve">Fecha según EDATE a partir del primer vencimiento. No ajusta automáticamente feriados.</t>
      </text>
    </comment>
    <comment authorId="0" ref="F568">
      <text>
        <t xml:space="preserve">Capital al inicio del período en el calendario ORIGINAL, sin recalcular por pagos reales.</t>
      </text>
    </comment>
    <comment authorId="0" ref="G568">
      <text>
        <t xml:space="preserve">Tasa efectiva del mes según la base ingresada.</t>
      </text>
    </comment>
    <comment authorId="0" ref="H568">
      <text>
        <t xml:space="preserve">Interés del período = capital inicial × tasa mensual, redondeado a dos decimales.</t>
      </text>
    </comment>
    <comment authorId="0" ref="I568">
      <text>
        <t xml:space="preserve">Capital e interés pactados. La última cuota ajusta el saldo por redondeo.</t>
      </text>
    </comment>
    <comment authorId="0" ref="J568">
      <text>
        <t xml:space="preserve">Capital amortizado TEÓRICO = cuota base − interés, limitado al saldo.</t>
      </text>
    </comment>
    <comment authorId="0" ref="K568">
      <text>
        <t xml:space="preserve">Seguro y otros cargos fijos del mes.</t>
      </text>
    </comment>
    <comment authorId="0" ref="L568">
      <text>
        <t xml:space="preserve">Cuota base + cargos.</t>
      </text>
    </comment>
    <comment authorId="0" ref="M568">
      <text>
        <t xml:space="preserve">Capital final del calendario teórico. No equivale al saldo real si hay pagos parciales o atrasos.</t>
      </text>
    </comment>
    <comment authorId="0" ref="N568">
      <text>
        <t xml:space="preserve">Suma de pagos válidos del mismo ID y cuota con fecha igual o anterior al corte.</t>
      </text>
    </comment>
    <comment authorId="0" ref="O568">
      <text>
        <t xml:space="preserve">MIN(amortización pactada; MAX(0; pagado − cargos − interés)). No imputa excedentes a otras cuotas.</t>
      </text>
    </comment>
    <comment authorId="0" ref="P568">
      <text>
        <t xml:space="preserve">MAX(0; total pactado − pagado a esta cuota). Incluye capital, interés y cargos pendientes de ESA cuota.</t>
      </text>
    </comment>
    <comment authorId="0" ref="Q568">
      <text>
        <t xml:space="preserve">Días desde vencimiento hasta corte, solo si venció antes del corte y sigue con saldo.</t>
      </text>
    </comment>
    <comment authorId="0" ref="R568">
      <text>
        <t xml:space="preserve">MAX(0; pagado − cuota pactada). Exceso para revisar: no se traspasa a otra cuota.</t>
      </text>
    </comment>
    <comment authorId="0" ref="C40">
      <text>
        <t xml:space="preserve">Crédito al que corresponde esta cuota.</t>
      </text>
    </comment>
    <comment authorId="0" ref="S568">
      <text>
        <t xml:space="preserve">Pagada, Vencida, Vence hoy, Por vencer o Exceso sin imputar según fecha y saldo al corte.</t>
      </text>
    </comment>
    <comment authorId="0" ref="D40">
      <text>
        <t xml:space="preserve">Número de cuota dentro del crédito.</t>
      </text>
    </comment>
    <comment authorId="0" ref="T568">
      <text>
        <t xml:space="preserve">Auxiliar para encontrar la primera cuota pendiente. El 999999 indica que esta cuota no tiene saldo pendiente o está fuera del plazo, y no es una fecha real.</t>
      </text>
    </comment>
    <comment authorId="0" ref="E40">
      <text>
        <t xml:space="preserve">Fecha según EDATE a partir del primer vencimiento. No ajusta automáticamente feriados.</t>
      </text>
    </comment>
    <comment authorId="0" ref="F40">
      <text>
        <t xml:space="preserve">Capital al inicio del período en el calendario ORIGINAL, sin recalcular por pagos reales.</t>
      </text>
    </comment>
    <comment authorId="0" ref="G40">
      <text>
        <t xml:space="preserve">Tasa efectiva del mes según la base ingresada.</t>
      </text>
    </comment>
    <comment authorId="0" ref="H40">
      <text>
        <t xml:space="preserve">Interés del período = capital inicial × tasa mensual, redondeado a dos decimales.</t>
      </text>
    </comment>
    <comment authorId="0" ref="I40">
      <text>
        <t xml:space="preserve">Capital e interés pactados. La última cuota ajusta el saldo por redondeo.</t>
      </text>
    </comment>
    <comment authorId="0" ref="J40">
      <text>
        <t xml:space="preserve">Capital amortizado TEÓRICO = cuota base − interés, limitado al saldo.</t>
      </text>
    </comment>
    <comment authorId="0" ref="K40">
      <text>
        <t xml:space="preserve">Seguro y otros cargos fijos del mes.</t>
      </text>
    </comment>
    <comment authorId="0" ref="L40">
      <text>
        <t xml:space="preserve">Cuota base + cargos.</t>
      </text>
    </comment>
    <comment authorId="0" ref="M40">
      <text>
        <t xml:space="preserve">Capital final del calendario teórico. No equivale al saldo real si hay pagos parciales o atrasos.</t>
      </text>
    </comment>
    <comment authorId="0" ref="N40">
      <text>
        <t xml:space="preserve">Suma de pagos válidos del mismo ID y cuota con fecha igual o anterior al corte.</t>
      </text>
    </comment>
    <comment authorId="0" ref="O40">
      <text>
        <t xml:space="preserve">MIN(amortización pactada; MAX(0; pagado − cargos − interés)). No imputa excedentes a otras cuotas.</t>
      </text>
    </comment>
    <comment authorId="0" ref="P40">
      <text>
        <t xml:space="preserve">MAX(0; total pactado − pagado a esta cuota). Incluye capital, interés y cargos pendientes de ESA cuota.</t>
      </text>
    </comment>
    <comment authorId="0" ref="Q40">
      <text>
        <t xml:space="preserve">Días desde vencimiento hasta corte, solo si venció antes del corte y sigue con saldo.</t>
      </text>
    </comment>
    <comment authorId="0" ref="R40">
      <text>
        <t xml:space="preserve">MAX(0; pagado − cuota pactada). Exceso para revisar: no se traspasa a otra cuota.</t>
      </text>
    </comment>
    <comment authorId="0" ref="C569">
      <text>
        <t xml:space="preserve">Crédito al que corresponde esta cuota.</t>
      </text>
    </comment>
    <comment authorId="0" ref="S40">
      <text>
        <t xml:space="preserve">Pagada, Vencida, Vence hoy, Por vencer o Exceso sin imputar según fecha y saldo al corte.</t>
      </text>
    </comment>
    <comment authorId="0" ref="D569">
      <text>
        <t xml:space="preserve">Número de cuota dentro del crédito.</t>
      </text>
    </comment>
    <comment authorId="0" ref="T40">
      <text>
        <t xml:space="preserve">Auxiliar para encontrar la primera cuota pendiente. El 999999 indica que esta cuota no tiene saldo pendiente o está fuera del plazo, y no es una fecha real.</t>
      </text>
    </comment>
    <comment authorId="0" ref="E569">
      <text>
        <t xml:space="preserve">Fecha según EDATE a partir del primer vencimiento. No ajusta automáticamente feriados.</t>
      </text>
    </comment>
    <comment authorId="0" ref="F569">
      <text>
        <t xml:space="preserve">Capital al inicio del período en el calendario ORIGINAL, sin recalcular por pagos reales.</t>
      </text>
    </comment>
    <comment authorId="0" ref="G569">
      <text>
        <t xml:space="preserve">Tasa efectiva del mes según la base ingresada.</t>
      </text>
    </comment>
    <comment authorId="0" ref="H569">
      <text>
        <t xml:space="preserve">Interés del período = capital inicial × tasa mensual, redondeado a dos decimales.</t>
      </text>
    </comment>
    <comment authorId="0" ref="I569">
      <text>
        <t xml:space="preserve">Capital e interés pactados. La última cuota ajusta el saldo por redondeo.</t>
      </text>
    </comment>
    <comment authorId="0" ref="J569">
      <text>
        <t xml:space="preserve">Capital amortizado TEÓRICO = cuota base − interés, limitado al saldo.</t>
      </text>
    </comment>
    <comment authorId="0" ref="K569">
      <text>
        <t xml:space="preserve">Seguro y otros cargos fijos del mes.</t>
      </text>
    </comment>
    <comment authorId="0" ref="L569">
      <text>
        <t xml:space="preserve">Cuota base + cargos.</t>
      </text>
    </comment>
    <comment authorId="0" ref="M569">
      <text>
        <t xml:space="preserve">Capital final del calendario teórico. No equivale al saldo real si hay pagos parciales o atrasos.</t>
      </text>
    </comment>
    <comment authorId="0" ref="N569">
      <text>
        <t xml:space="preserve">Suma de pagos válidos del mismo ID y cuota con fecha igual o anterior al corte.</t>
      </text>
    </comment>
    <comment authorId="0" ref="O569">
      <text>
        <t xml:space="preserve">MIN(amortización pactada; MAX(0; pagado − cargos − interés)). No imputa excedentes a otras cuotas.</t>
      </text>
    </comment>
    <comment authorId="0" ref="P569">
      <text>
        <t xml:space="preserve">MAX(0; total pactado − pagado a esta cuota). Incluye capital, interés y cargos pendientes de ESA cuota.</t>
      </text>
    </comment>
    <comment authorId="0" ref="Q569">
      <text>
        <t xml:space="preserve">Días desde vencimiento hasta corte, solo si venció antes del corte y sigue con saldo.</t>
      </text>
    </comment>
    <comment authorId="0" ref="R569">
      <text>
        <t xml:space="preserve">MAX(0; pagado − cuota pactada). Exceso para revisar: no se traspasa a otra cuota.</t>
      </text>
    </comment>
    <comment authorId="0" ref="C41">
      <text>
        <t xml:space="preserve">Crédito al que corresponde esta cuota.</t>
      </text>
    </comment>
    <comment authorId="0" ref="S569">
      <text>
        <t xml:space="preserve">Pagada, Vencida, Vence hoy, Por vencer o Exceso sin imputar según fecha y saldo al corte.</t>
      </text>
    </comment>
    <comment authorId="0" ref="D41">
      <text>
        <t xml:space="preserve">Número de cuota dentro del crédito.</t>
      </text>
    </comment>
    <comment authorId="0" ref="T569">
      <text>
        <t xml:space="preserve">Auxiliar para encontrar la primera cuota pendiente. El 999999 indica que esta cuota no tiene saldo pendiente o está fuera del plazo, y no es una fecha real.</t>
      </text>
    </comment>
    <comment authorId="0" ref="E41">
      <text>
        <t xml:space="preserve">Fecha según EDATE a partir del primer vencimiento. No ajusta automáticamente feriados.</t>
      </text>
    </comment>
    <comment authorId="0" ref="F41">
      <text>
        <t xml:space="preserve">Capital al inicio del período en el calendario ORIGINAL, sin recalcular por pagos reales.</t>
      </text>
    </comment>
    <comment authorId="0" ref="G41">
      <text>
        <t xml:space="preserve">Tasa efectiva del mes según la base ingresada.</t>
      </text>
    </comment>
    <comment authorId="0" ref="H41">
      <text>
        <t xml:space="preserve">Interés del período = capital inicial × tasa mensual, redondeado a dos decimales.</t>
      </text>
    </comment>
    <comment authorId="0" ref="I41">
      <text>
        <t xml:space="preserve">Capital e interés pactados. La última cuota ajusta el saldo por redondeo.</t>
      </text>
    </comment>
    <comment authorId="0" ref="J41">
      <text>
        <t xml:space="preserve">Capital amortizado TEÓRICO = cuota base − interés, limitado al saldo.</t>
      </text>
    </comment>
    <comment authorId="0" ref="K41">
      <text>
        <t xml:space="preserve">Seguro y otros cargos fijos del mes.</t>
      </text>
    </comment>
    <comment authorId="0" ref="L41">
      <text>
        <t xml:space="preserve">Cuota base + cargos.</t>
      </text>
    </comment>
    <comment authorId="0" ref="M41">
      <text>
        <t xml:space="preserve">Capital final del calendario teórico. No equivale al saldo real si hay pagos parciales o atrasos.</t>
      </text>
    </comment>
    <comment authorId="0" ref="N41">
      <text>
        <t xml:space="preserve">Suma de pagos válidos del mismo ID y cuota con fecha igual o anterior al corte.</t>
      </text>
    </comment>
    <comment authorId="0" ref="O41">
      <text>
        <t xml:space="preserve">MIN(amortización pactada; MAX(0; pagado − cargos − interés)). No imputa excedentes a otras cuotas.</t>
      </text>
    </comment>
    <comment authorId="0" ref="P41">
      <text>
        <t xml:space="preserve">MAX(0; total pactado − pagado a esta cuota). Incluye capital, interés y cargos pendientes de ESA cuota.</t>
      </text>
    </comment>
    <comment authorId="0" ref="Q41">
      <text>
        <t xml:space="preserve">Días desde vencimiento hasta corte, solo si venció antes del corte y sigue con saldo.</t>
      </text>
    </comment>
    <comment authorId="0" ref="R41">
      <text>
        <t xml:space="preserve">MAX(0; pagado − cuota pactada). Exceso para revisar: no se traspasa a otra cuota.</t>
      </text>
    </comment>
    <comment authorId="0" ref="C570">
      <text>
        <t xml:space="preserve">Crédito al que corresponde esta cuota.</t>
      </text>
    </comment>
    <comment authorId="0" ref="S41">
      <text>
        <t xml:space="preserve">Pagada, Vencida, Vence hoy, Por vencer o Exceso sin imputar según fecha y saldo al corte.</t>
      </text>
    </comment>
    <comment authorId="0" ref="D570">
      <text>
        <t xml:space="preserve">Número de cuota dentro del crédito.</t>
      </text>
    </comment>
    <comment authorId="0" ref="T41">
      <text>
        <t xml:space="preserve">Auxiliar para encontrar la primera cuota pendiente. El 999999 indica que esta cuota no tiene saldo pendiente o está fuera del plazo, y no es una fecha real.</t>
      </text>
    </comment>
    <comment authorId="0" ref="E570">
      <text>
        <t xml:space="preserve">Fecha según EDATE a partir del primer vencimiento. No ajusta automáticamente feriados.</t>
      </text>
    </comment>
    <comment authorId="0" ref="F570">
      <text>
        <t xml:space="preserve">Capital al inicio del período en el calendario ORIGINAL, sin recalcular por pagos reales.</t>
      </text>
    </comment>
    <comment authorId="0" ref="G570">
      <text>
        <t xml:space="preserve">Tasa efectiva del mes según la base ingresada.</t>
      </text>
    </comment>
    <comment authorId="0" ref="H570">
      <text>
        <t xml:space="preserve">Interés del período = capital inicial × tasa mensual, redondeado a dos decimales.</t>
      </text>
    </comment>
    <comment authorId="0" ref="I570">
      <text>
        <t xml:space="preserve">Capital e interés pactados. La última cuota ajusta el saldo por redondeo.</t>
      </text>
    </comment>
    <comment authorId="0" ref="J570">
      <text>
        <t xml:space="preserve">Capital amortizado TEÓRICO = cuota base − interés, limitado al saldo.</t>
      </text>
    </comment>
    <comment authorId="0" ref="K570">
      <text>
        <t xml:space="preserve">Seguro y otros cargos fijos del mes.</t>
      </text>
    </comment>
    <comment authorId="0" ref="L570">
      <text>
        <t xml:space="preserve">Cuota base + cargos.</t>
      </text>
    </comment>
    <comment authorId="0" ref="M570">
      <text>
        <t xml:space="preserve">Capital final del calendario teórico. No equivale al saldo real si hay pagos parciales o atrasos.</t>
      </text>
    </comment>
    <comment authorId="0" ref="N570">
      <text>
        <t xml:space="preserve">Suma de pagos válidos del mismo ID y cuota con fecha igual o anterior al corte.</t>
      </text>
    </comment>
    <comment authorId="0" ref="O570">
      <text>
        <t xml:space="preserve">MIN(amortización pactada; MAX(0; pagado − cargos − interés)). No imputa excedentes a otras cuotas.</t>
      </text>
    </comment>
    <comment authorId="0" ref="P570">
      <text>
        <t xml:space="preserve">MAX(0; total pactado − pagado a esta cuota). Incluye capital, interés y cargos pendientes de ESA cuota.</t>
      </text>
    </comment>
    <comment authorId="0" ref="Q570">
      <text>
        <t xml:space="preserve">Días desde vencimiento hasta corte, solo si venció antes del corte y sigue con saldo.</t>
      </text>
    </comment>
    <comment authorId="0" ref="R570">
      <text>
        <t xml:space="preserve">MAX(0; pagado − cuota pactada). Exceso para revisar: no se traspasa a otra cuota.</t>
      </text>
    </comment>
    <comment authorId="0" ref="C42">
      <text>
        <t xml:space="preserve">Crédito al que corresponde esta cuota.</t>
      </text>
    </comment>
    <comment authorId="0" ref="S570">
      <text>
        <t xml:space="preserve">Pagada, Vencida, Vence hoy, Por vencer o Exceso sin imputar según fecha y saldo al corte.</t>
      </text>
    </comment>
    <comment authorId="0" ref="D42">
      <text>
        <t xml:space="preserve">Número de cuota dentro del crédito.</t>
      </text>
    </comment>
    <comment authorId="0" ref="T570">
      <text>
        <t xml:space="preserve">Auxiliar para encontrar la primera cuota pendiente. El 999999 indica que esta cuota no tiene saldo pendiente o está fuera del plazo, y no es una fecha real.</t>
      </text>
    </comment>
    <comment authorId="0" ref="E42">
      <text>
        <t xml:space="preserve">Fecha según EDATE a partir del primer vencimiento. No ajusta automáticamente feriados.</t>
      </text>
    </comment>
    <comment authorId="0" ref="F42">
      <text>
        <t xml:space="preserve">Capital al inicio del período en el calendario ORIGINAL, sin recalcular por pagos reales.</t>
      </text>
    </comment>
    <comment authorId="0" ref="G42">
      <text>
        <t xml:space="preserve">Tasa efectiva del mes según la base ingresada.</t>
      </text>
    </comment>
    <comment authorId="0" ref="H42">
      <text>
        <t xml:space="preserve">Interés del período = capital inicial × tasa mensual, redondeado a dos decimales.</t>
      </text>
    </comment>
    <comment authorId="0" ref="I42">
      <text>
        <t xml:space="preserve">Capital e interés pactados. La última cuota ajusta el saldo por redondeo.</t>
      </text>
    </comment>
    <comment authorId="0" ref="J42">
      <text>
        <t xml:space="preserve">Capital amortizado TEÓRICO = cuota base − interés, limitado al saldo.</t>
      </text>
    </comment>
    <comment authorId="0" ref="K42">
      <text>
        <t xml:space="preserve">Seguro y otros cargos fijos del mes.</t>
      </text>
    </comment>
    <comment authorId="0" ref="L42">
      <text>
        <t xml:space="preserve">Cuota base + cargos.</t>
      </text>
    </comment>
    <comment authorId="0" ref="M42">
      <text>
        <t xml:space="preserve">Capital final del calendario teórico. No equivale al saldo real si hay pagos parciales o atrasos.</t>
      </text>
    </comment>
    <comment authorId="0" ref="N42">
      <text>
        <t xml:space="preserve">Suma de pagos válidos del mismo ID y cuota con fecha igual o anterior al corte.</t>
      </text>
    </comment>
    <comment authorId="0" ref="O42">
      <text>
        <t xml:space="preserve">MIN(amortización pactada; MAX(0; pagado − cargos − interés)). No imputa excedentes a otras cuotas.</t>
      </text>
    </comment>
    <comment authorId="0" ref="P42">
      <text>
        <t xml:space="preserve">MAX(0; total pactado − pagado a esta cuota). Incluye capital, interés y cargos pendientes de ESA cuota.</t>
      </text>
    </comment>
    <comment authorId="0" ref="Q42">
      <text>
        <t xml:space="preserve">Días desde vencimiento hasta corte, solo si venció antes del corte y sigue con saldo.</t>
      </text>
    </comment>
    <comment authorId="0" ref="R42">
      <text>
        <t xml:space="preserve">MAX(0; pagado − cuota pactada). Exceso para revisar: no se traspasa a otra cuota.</t>
      </text>
    </comment>
    <comment authorId="0" ref="C571">
      <text>
        <t xml:space="preserve">Crédito al que corresponde esta cuota.</t>
      </text>
    </comment>
    <comment authorId="0" ref="S42">
      <text>
        <t xml:space="preserve">Pagada, Vencida, Vence hoy, Por vencer o Exceso sin imputar según fecha y saldo al corte.</t>
      </text>
    </comment>
    <comment authorId="0" ref="D571">
      <text>
        <t xml:space="preserve">Número de cuota dentro del crédito.</t>
      </text>
    </comment>
    <comment authorId="0" ref="T42">
      <text>
        <t xml:space="preserve">Auxiliar para encontrar la primera cuota pendiente. El 999999 indica que esta cuota no tiene saldo pendiente o está fuera del plazo, y no es una fecha real.</t>
      </text>
    </comment>
    <comment authorId="0" ref="E571">
      <text>
        <t xml:space="preserve">Fecha según EDATE a partir del primer vencimiento. No ajusta automáticamente feriados.</t>
      </text>
    </comment>
    <comment authorId="0" ref="F571">
      <text>
        <t xml:space="preserve">Capital al inicio del período en el calendario ORIGINAL, sin recalcular por pagos reales.</t>
      </text>
    </comment>
    <comment authorId="0" ref="G571">
      <text>
        <t xml:space="preserve">Tasa efectiva del mes según la base ingresada.</t>
      </text>
    </comment>
    <comment authorId="0" ref="H571">
      <text>
        <t xml:space="preserve">Interés del período = capital inicial × tasa mensual, redondeado a dos decimales.</t>
      </text>
    </comment>
    <comment authorId="0" ref="I571">
      <text>
        <t xml:space="preserve">Capital e interés pactados. La última cuota ajusta el saldo por redondeo.</t>
      </text>
    </comment>
    <comment authorId="0" ref="J571">
      <text>
        <t xml:space="preserve">Capital amortizado TEÓRICO = cuota base − interés, limitado al saldo.</t>
      </text>
    </comment>
    <comment authorId="0" ref="K571">
      <text>
        <t xml:space="preserve">Seguro y otros cargos fijos del mes.</t>
      </text>
    </comment>
    <comment authorId="0" ref="L571">
      <text>
        <t xml:space="preserve">Cuota base + cargos.</t>
      </text>
    </comment>
    <comment authorId="0" ref="M571">
      <text>
        <t xml:space="preserve">Capital final del calendario teórico. No equivale al saldo real si hay pagos parciales o atrasos.</t>
      </text>
    </comment>
    <comment authorId="0" ref="N571">
      <text>
        <t xml:space="preserve">Suma de pagos válidos del mismo ID y cuota con fecha igual o anterior al corte.</t>
      </text>
    </comment>
    <comment authorId="0" ref="O571">
      <text>
        <t xml:space="preserve">MIN(amortización pactada; MAX(0; pagado − cargos − interés)). No imputa excedentes a otras cuotas.</t>
      </text>
    </comment>
    <comment authorId="0" ref="P571">
      <text>
        <t xml:space="preserve">MAX(0; total pactado − pagado a esta cuota). Incluye capital, interés y cargos pendientes de ESA cuota.</t>
      </text>
    </comment>
    <comment authorId="0" ref="Q571">
      <text>
        <t xml:space="preserve">Días desde vencimiento hasta corte, solo si venció antes del corte y sigue con saldo.</t>
      </text>
    </comment>
    <comment authorId="0" ref="R571">
      <text>
        <t xml:space="preserve">MAX(0; pagado − cuota pactada). Exceso para revisar: no se traspasa a otra cuota.</t>
      </text>
    </comment>
    <comment authorId="0" ref="C43">
      <text>
        <t xml:space="preserve">Crédito al que corresponde esta cuota.</t>
      </text>
    </comment>
    <comment authorId="0" ref="S571">
      <text>
        <t xml:space="preserve">Pagada, Vencida, Vence hoy, Por vencer o Exceso sin imputar según fecha y saldo al corte.</t>
      </text>
    </comment>
    <comment authorId="0" ref="D43">
      <text>
        <t xml:space="preserve">Número de cuota dentro del crédito.</t>
      </text>
    </comment>
    <comment authorId="0" ref="T571">
      <text>
        <t xml:space="preserve">Auxiliar para encontrar la primera cuota pendiente. El 999999 indica que esta cuota no tiene saldo pendiente o está fuera del plazo, y no es una fecha real.</t>
      </text>
    </comment>
    <comment authorId="0" ref="E43">
      <text>
        <t xml:space="preserve">Fecha según EDATE a partir del primer vencimiento. No ajusta automáticamente feriados.</t>
      </text>
    </comment>
    <comment authorId="0" ref="F43">
      <text>
        <t xml:space="preserve">Capital al inicio del período en el calendario ORIGINAL, sin recalcular por pagos reales.</t>
      </text>
    </comment>
    <comment authorId="0" ref="G43">
      <text>
        <t xml:space="preserve">Tasa efectiva del mes según la base ingresada.</t>
      </text>
    </comment>
    <comment authorId="0" ref="H43">
      <text>
        <t xml:space="preserve">Interés del período = capital inicial × tasa mensual, redondeado a dos decimales.</t>
      </text>
    </comment>
    <comment authorId="0" ref="I43">
      <text>
        <t xml:space="preserve">Capital e interés pactados. La última cuota ajusta el saldo por redondeo.</t>
      </text>
    </comment>
    <comment authorId="0" ref="J43">
      <text>
        <t xml:space="preserve">Capital amortizado TEÓRICO = cuota base − interés, limitado al saldo.</t>
      </text>
    </comment>
    <comment authorId="0" ref="K43">
      <text>
        <t xml:space="preserve">Seguro y otros cargos fijos del mes.</t>
      </text>
    </comment>
    <comment authorId="0" ref="L43">
      <text>
        <t xml:space="preserve">Cuota base + cargos.</t>
      </text>
    </comment>
    <comment authorId="0" ref="M43">
      <text>
        <t xml:space="preserve">Capital final del calendario teórico. No equivale al saldo real si hay pagos parciales o atrasos.</t>
      </text>
    </comment>
    <comment authorId="0" ref="N43">
      <text>
        <t xml:space="preserve">Suma de pagos válidos del mismo ID y cuota con fecha igual o anterior al corte.</t>
      </text>
    </comment>
    <comment authorId="0" ref="O43">
      <text>
        <t xml:space="preserve">MIN(amortización pactada; MAX(0; pagado − cargos − interés)). No imputa excedentes a otras cuotas.</t>
      </text>
    </comment>
    <comment authorId="0" ref="P43">
      <text>
        <t xml:space="preserve">MAX(0; total pactado − pagado a esta cuota). Incluye capital, interés y cargos pendientes de ESA cuota.</t>
      </text>
    </comment>
    <comment authorId="0" ref="Q43">
      <text>
        <t xml:space="preserve">Días desde vencimiento hasta corte, solo si venció antes del corte y sigue con saldo.</t>
      </text>
    </comment>
    <comment authorId="0" ref="R43">
      <text>
        <t xml:space="preserve">MAX(0; pagado − cuota pactada). Exceso para revisar: no se traspasa a otra cuota.</t>
      </text>
    </comment>
    <comment authorId="0" ref="C572">
      <text>
        <t xml:space="preserve">Crédito al que corresponde esta cuota.</t>
      </text>
    </comment>
    <comment authorId="0" ref="S43">
      <text>
        <t xml:space="preserve">Pagada, Vencida, Vence hoy, Por vencer o Exceso sin imputar según fecha y saldo al corte.</t>
      </text>
    </comment>
    <comment authorId="0" ref="D572">
      <text>
        <t xml:space="preserve">Número de cuota dentro del crédito.</t>
      </text>
    </comment>
    <comment authorId="0" ref="T43">
      <text>
        <t xml:space="preserve">Auxiliar para encontrar la primera cuota pendiente. El 999999 indica que esta cuota no tiene saldo pendiente o está fuera del plazo, y no es una fecha real.</t>
      </text>
    </comment>
    <comment authorId="0" ref="E572">
      <text>
        <t xml:space="preserve">Fecha según EDATE a partir del primer vencimiento. No ajusta automáticamente feriados.</t>
      </text>
    </comment>
    <comment authorId="0" ref="F572">
      <text>
        <t xml:space="preserve">Capital al inicio del período en el calendario ORIGINAL, sin recalcular por pagos reales.</t>
      </text>
    </comment>
    <comment authorId="0" ref="G572">
      <text>
        <t xml:space="preserve">Tasa efectiva del mes según la base ingresada.</t>
      </text>
    </comment>
    <comment authorId="0" ref="H572">
      <text>
        <t xml:space="preserve">Interés del período = capital inicial × tasa mensual, redondeado a dos decimales.</t>
      </text>
    </comment>
    <comment authorId="0" ref="I572">
      <text>
        <t xml:space="preserve">Capital e interés pactados. La última cuota ajusta el saldo por redondeo.</t>
      </text>
    </comment>
    <comment authorId="0" ref="J572">
      <text>
        <t xml:space="preserve">Capital amortizado TEÓRICO = cuota base − interés, limitado al saldo.</t>
      </text>
    </comment>
    <comment authorId="0" ref="K572">
      <text>
        <t xml:space="preserve">Seguro y otros cargos fijos del mes.</t>
      </text>
    </comment>
    <comment authorId="0" ref="L572">
      <text>
        <t xml:space="preserve">Cuota base + cargos.</t>
      </text>
    </comment>
    <comment authorId="0" ref="M572">
      <text>
        <t xml:space="preserve">Capital final del calendario teórico. No equivale al saldo real si hay pagos parciales o atrasos.</t>
      </text>
    </comment>
    <comment authorId="0" ref="N572">
      <text>
        <t xml:space="preserve">Suma de pagos válidos del mismo ID y cuota con fecha igual o anterior al corte.</t>
      </text>
    </comment>
    <comment authorId="0" ref="O572">
      <text>
        <t xml:space="preserve">MIN(amortización pactada; MAX(0; pagado − cargos − interés)). No imputa excedentes a otras cuotas.</t>
      </text>
    </comment>
    <comment authorId="0" ref="P572">
      <text>
        <t xml:space="preserve">MAX(0; total pactado − pagado a esta cuota). Incluye capital, interés y cargos pendientes de ESA cuota.</t>
      </text>
    </comment>
    <comment authorId="0" ref="Q572">
      <text>
        <t xml:space="preserve">Días desde vencimiento hasta corte, solo si venció antes del corte y sigue con saldo.</t>
      </text>
    </comment>
    <comment authorId="0" ref="R572">
      <text>
        <t xml:space="preserve">MAX(0; pagado − cuota pactada). Exceso para revisar: no se traspasa a otra cuota.</t>
      </text>
    </comment>
    <comment authorId="0" ref="C44">
      <text>
        <t xml:space="preserve">Crédito al que corresponde esta cuota.</t>
      </text>
    </comment>
    <comment authorId="0" ref="S572">
      <text>
        <t xml:space="preserve">Pagada, Vencida, Vence hoy, Por vencer o Exceso sin imputar según fecha y saldo al corte.</t>
      </text>
    </comment>
    <comment authorId="0" ref="D44">
      <text>
        <t xml:space="preserve">Número de cuota dentro del crédito.</t>
      </text>
    </comment>
    <comment authorId="0" ref="T572">
      <text>
        <t xml:space="preserve">Auxiliar para encontrar la primera cuota pendiente. El 999999 indica que esta cuota no tiene saldo pendiente o está fuera del plazo, y no es una fecha real.</t>
      </text>
    </comment>
    <comment authorId="0" ref="E44">
      <text>
        <t xml:space="preserve">Fecha según EDATE a partir del primer vencimiento. No ajusta automáticamente feriados.</t>
      </text>
    </comment>
    <comment authorId="0" ref="F44">
      <text>
        <t xml:space="preserve">Capital al inicio del período en el calendario ORIGINAL, sin recalcular por pagos reales.</t>
      </text>
    </comment>
    <comment authorId="0" ref="G44">
      <text>
        <t xml:space="preserve">Tasa efectiva del mes según la base ingresada.</t>
      </text>
    </comment>
    <comment authorId="0" ref="H44">
      <text>
        <t xml:space="preserve">Interés del período = capital inicial × tasa mensual, redondeado a dos decimales.</t>
      </text>
    </comment>
    <comment authorId="0" ref="I44">
      <text>
        <t xml:space="preserve">Capital e interés pactados. La última cuota ajusta el saldo por redondeo.</t>
      </text>
    </comment>
    <comment authorId="0" ref="J44">
      <text>
        <t xml:space="preserve">Capital amortizado TEÓRICO = cuota base − interés, limitado al saldo.</t>
      </text>
    </comment>
    <comment authorId="0" ref="K44">
      <text>
        <t xml:space="preserve">Seguro y otros cargos fijos del mes.</t>
      </text>
    </comment>
    <comment authorId="0" ref="L44">
      <text>
        <t xml:space="preserve">Cuota base + cargos.</t>
      </text>
    </comment>
    <comment authorId="0" ref="M44">
      <text>
        <t xml:space="preserve">Capital final del calendario teórico. No equivale al saldo real si hay pagos parciales o atrasos.</t>
      </text>
    </comment>
    <comment authorId="0" ref="N44">
      <text>
        <t xml:space="preserve">Suma de pagos válidos del mismo ID y cuota con fecha igual o anterior al corte.</t>
      </text>
    </comment>
    <comment authorId="0" ref="O44">
      <text>
        <t xml:space="preserve">MIN(amortización pactada; MAX(0; pagado − cargos − interés)). No imputa excedentes a otras cuotas.</t>
      </text>
    </comment>
    <comment authorId="0" ref="P44">
      <text>
        <t xml:space="preserve">MAX(0; total pactado − pagado a esta cuota). Incluye capital, interés y cargos pendientes de ESA cuota.</t>
      </text>
    </comment>
    <comment authorId="0" ref="Q44">
      <text>
        <t xml:space="preserve">Días desde vencimiento hasta corte, solo si venció antes del corte y sigue con saldo.</t>
      </text>
    </comment>
    <comment authorId="0" ref="R44">
      <text>
        <t xml:space="preserve">MAX(0; pagado − cuota pactada). Exceso para revisar: no se traspasa a otra cuota.</t>
      </text>
    </comment>
    <comment authorId="0" ref="C573">
      <text>
        <t xml:space="preserve">Crédito al que corresponde esta cuota.</t>
      </text>
    </comment>
    <comment authorId="0" ref="S44">
      <text>
        <t xml:space="preserve">Pagada, Vencida, Vence hoy, Por vencer o Exceso sin imputar según fecha y saldo al corte.</t>
      </text>
    </comment>
    <comment authorId="0" ref="D573">
      <text>
        <t xml:space="preserve">Número de cuota dentro del crédito.</t>
      </text>
    </comment>
    <comment authorId="0" ref="T44">
      <text>
        <t xml:space="preserve">Auxiliar para encontrar la primera cuota pendiente. El 999999 indica que esta cuota no tiene saldo pendiente o está fuera del plazo, y no es una fecha real.</t>
      </text>
    </comment>
    <comment authorId="0" ref="E573">
      <text>
        <t xml:space="preserve">Fecha según EDATE a partir del primer vencimiento. No ajusta automáticamente feriados.</t>
      </text>
    </comment>
    <comment authorId="0" ref="F573">
      <text>
        <t xml:space="preserve">Capital al inicio del período en el calendario ORIGINAL, sin recalcular por pagos reales.</t>
      </text>
    </comment>
    <comment authorId="0" ref="G573">
      <text>
        <t xml:space="preserve">Tasa efectiva del mes según la base ingresada.</t>
      </text>
    </comment>
    <comment authorId="0" ref="H573">
      <text>
        <t xml:space="preserve">Interés del período = capital inicial × tasa mensual, redondeado a dos decimales.</t>
      </text>
    </comment>
    <comment authorId="0" ref="I573">
      <text>
        <t xml:space="preserve">Capital e interés pactados. La última cuota ajusta el saldo por redondeo.</t>
      </text>
    </comment>
    <comment authorId="0" ref="J573">
      <text>
        <t xml:space="preserve">Capital amortizado TEÓRICO = cuota base − interés, limitado al saldo.</t>
      </text>
    </comment>
    <comment authorId="0" ref="K573">
      <text>
        <t xml:space="preserve">Seguro y otros cargos fijos del mes.</t>
      </text>
    </comment>
    <comment authorId="0" ref="L573">
      <text>
        <t xml:space="preserve">Cuota base + cargos.</t>
      </text>
    </comment>
    <comment authorId="0" ref="M573">
      <text>
        <t xml:space="preserve">Capital final del calendario teórico. No equivale al saldo real si hay pagos parciales o atrasos.</t>
      </text>
    </comment>
    <comment authorId="0" ref="N573">
      <text>
        <t xml:space="preserve">Suma de pagos válidos del mismo ID y cuota con fecha igual o anterior al corte.</t>
      </text>
    </comment>
    <comment authorId="0" ref="O573">
      <text>
        <t xml:space="preserve">MIN(amortización pactada; MAX(0; pagado − cargos − interés)). No imputa excedentes a otras cuotas.</t>
      </text>
    </comment>
    <comment authorId="0" ref="P573">
      <text>
        <t xml:space="preserve">MAX(0; total pactado − pagado a esta cuota). Incluye capital, interés y cargos pendientes de ESA cuota.</t>
      </text>
    </comment>
    <comment authorId="0" ref="Q573">
      <text>
        <t xml:space="preserve">Días desde vencimiento hasta corte, solo si venció antes del corte y sigue con saldo.</t>
      </text>
    </comment>
    <comment authorId="0" ref="R573">
      <text>
        <t xml:space="preserve">MAX(0; pagado − cuota pactada). Exceso para revisar: no se traspasa a otra cuota.</t>
      </text>
    </comment>
    <comment authorId="0" ref="C45">
      <text>
        <t xml:space="preserve">Crédito al que corresponde esta cuota.</t>
      </text>
    </comment>
    <comment authorId="0" ref="S573">
      <text>
        <t xml:space="preserve">Pagada, Vencida, Vence hoy, Por vencer o Exceso sin imputar según fecha y saldo al corte.</t>
      </text>
    </comment>
    <comment authorId="0" ref="D45">
      <text>
        <t xml:space="preserve">Número de cuota dentro del crédito.</t>
      </text>
    </comment>
    <comment authorId="0" ref="T573">
      <text>
        <t xml:space="preserve">Auxiliar para encontrar la primera cuota pendiente. El 999999 indica que esta cuota no tiene saldo pendiente o está fuera del plazo, y no es una fecha real.</t>
      </text>
    </comment>
    <comment authorId="0" ref="E45">
      <text>
        <t xml:space="preserve">Fecha según EDATE a partir del primer vencimiento. No ajusta automáticamente feriados.</t>
      </text>
    </comment>
    <comment authorId="0" ref="F45">
      <text>
        <t xml:space="preserve">Capital al inicio del período en el calendario ORIGINAL, sin recalcular por pagos reales.</t>
      </text>
    </comment>
    <comment authorId="0" ref="G45">
      <text>
        <t xml:space="preserve">Tasa efectiva del mes según la base ingresada.</t>
      </text>
    </comment>
    <comment authorId="0" ref="H45">
      <text>
        <t xml:space="preserve">Interés del período = capital inicial × tasa mensual, redondeado a dos decimales.</t>
      </text>
    </comment>
    <comment authorId="0" ref="I45">
      <text>
        <t xml:space="preserve">Capital e interés pactados. La última cuota ajusta el saldo por redondeo.</t>
      </text>
    </comment>
    <comment authorId="0" ref="J45">
      <text>
        <t xml:space="preserve">Capital amortizado TEÓRICO = cuota base − interés, limitado al saldo.</t>
      </text>
    </comment>
    <comment authorId="0" ref="K45">
      <text>
        <t xml:space="preserve">Seguro y otros cargos fijos del mes.</t>
      </text>
    </comment>
    <comment authorId="0" ref="L45">
      <text>
        <t xml:space="preserve">Cuota base + cargos.</t>
      </text>
    </comment>
    <comment authorId="0" ref="M45">
      <text>
        <t xml:space="preserve">Capital final del calendario teórico. No equivale al saldo real si hay pagos parciales o atrasos.</t>
      </text>
    </comment>
    <comment authorId="0" ref="N45">
      <text>
        <t xml:space="preserve">Suma de pagos válidos del mismo ID y cuota con fecha igual o anterior al corte.</t>
      </text>
    </comment>
    <comment authorId="0" ref="O45">
      <text>
        <t xml:space="preserve">MIN(amortización pactada; MAX(0; pagado − cargos − interés)). No imputa excedentes a otras cuotas.</t>
      </text>
    </comment>
    <comment authorId="0" ref="P45">
      <text>
        <t xml:space="preserve">MAX(0; total pactado − pagado a esta cuota). Incluye capital, interés y cargos pendientes de ESA cuota.</t>
      </text>
    </comment>
    <comment authorId="0" ref="Q45">
      <text>
        <t xml:space="preserve">Días desde vencimiento hasta corte, solo si venció antes del corte y sigue con saldo.</t>
      </text>
    </comment>
    <comment authorId="0" ref="R45">
      <text>
        <t xml:space="preserve">MAX(0; pagado − cuota pactada). Exceso para revisar: no se traspasa a otra cuota.</t>
      </text>
    </comment>
    <comment authorId="0" ref="C574">
      <text>
        <t xml:space="preserve">Crédito al que corresponde esta cuota.</t>
      </text>
    </comment>
    <comment authorId="0" ref="S45">
      <text>
        <t xml:space="preserve">Pagada, Vencida, Vence hoy, Por vencer o Exceso sin imputar según fecha y saldo al corte.</t>
      </text>
    </comment>
    <comment authorId="0" ref="D574">
      <text>
        <t xml:space="preserve">Número de cuota dentro del crédito.</t>
      </text>
    </comment>
    <comment authorId="0" ref="T45">
      <text>
        <t xml:space="preserve">Auxiliar para encontrar la primera cuota pendiente. El 999999 indica que esta cuota no tiene saldo pendiente o está fuera del plazo, y no es una fecha real.</t>
      </text>
    </comment>
    <comment authorId="0" ref="E574">
      <text>
        <t xml:space="preserve">Fecha según EDATE a partir del primer vencimiento. No ajusta automáticamente feriados.</t>
      </text>
    </comment>
    <comment authorId="0" ref="F574">
      <text>
        <t xml:space="preserve">Capital al inicio del período en el calendario ORIGINAL, sin recalcular por pagos reales.</t>
      </text>
    </comment>
    <comment authorId="0" ref="G574">
      <text>
        <t xml:space="preserve">Tasa efectiva del mes según la base ingresada.</t>
      </text>
    </comment>
    <comment authorId="0" ref="H574">
      <text>
        <t xml:space="preserve">Interés del período = capital inicial × tasa mensual, redondeado a dos decimales.</t>
      </text>
    </comment>
    <comment authorId="0" ref="I574">
      <text>
        <t xml:space="preserve">Capital e interés pactados. La última cuota ajusta el saldo por redondeo.</t>
      </text>
    </comment>
    <comment authorId="0" ref="J574">
      <text>
        <t xml:space="preserve">Capital amortizado TEÓRICO = cuota base − interés, limitado al saldo.</t>
      </text>
    </comment>
    <comment authorId="0" ref="K574">
      <text>
        <t xml:space="preserve">Seguro y otros cargos fijos del mes.</t>
      </text>
    </comment>
    <comment authorId="0" ref="L574">
      <text>
        <t xml:space="preserve">Cuota base + cargos.</t>
      </text>
    </comment>
    <comment authorId="0" ref="M574">
      <text>
        <t xml:space="preserve">Capital final del calendario teórico. No equivale al saldo real si hay pagos parciales o atrasos.</t>
      </text>
    </comment>
    <comment authorId="0" ref="N574">
      <text>
        <t xml:space="preserve">Suma de pagos válidos del mismo ID y cuota con fecha igual o anterior al corte.</t>
      </text>
    </comment>
    <comment authorId="0" ref="O574">
      <text>
        <t xml:space="preserve">MIN(amortización pactada; MAX(0; pagado − cargos − interés)). No imputa excedentes a otras cuotas.</t>
      </text>
    </comment>
    <comment authorId="0" ref="P574">
      <text>
        <t xml:space="preserve">MAX(0; total pactado − pagado a esta cuota). Incluye capital, interés y cargos pendientes de ESA cuota.</t>
      </text>
    </comment>
    <comment authorId="0" ref="Q574">
      <text>
        <t xml:space="preserve">Días desde vencimiento hasta corte, solo si venció antes del corte y sigue con saldo.</t>
      </text>
    </comment>
    <comment authorId="0" ref="R574">
      <text>
        <t xml:space="preserve">MAX(0; pagado − cuota pactada). Exceso para revisar: no se traspasa a otra cuota.</t>
      </text>
    </comment>
    <comment authorId="0" ref="C46">
      <text>
        <t xml:space="preserve">Crédito al que corresponde esta cuota.</t>
      </text>
    </comment>
    <comment authorId="0" ref="S574">
      <text>
        <t xml:space="preserve">Pagada, Vencida, Vence hoy, Por vencer o Exceso sin imputar según fecha y saldo al corte.</t>
      </text>
    </comment>
    <comment authorId="0" ref="D46">
      <text>
        <t xml:space="preserve">Número de cuota dentro del crédito.</t>
      </text>
    </comment>
    <comment authorId="0" ref="T574">
      <text>
        <t xml:space="preserve">Auxiliar para encontrar la primera cuota pendiente. El 999999 indica que esta cuota no tiene saldo pendiente o está fuera del plazo, y no es una fecha real.</t>
      </text>
    </comment>
    <comment authorId="0" ref="E46">
      <text>
        <t xml:space="preserve">Fecha según EDATE a partir del primer vencimiento. No ajusta automáticamente feriados.</t>
      </text>
    </comment>
    <comment authorId="0" ref="F46">
      <text>
        <t xml:space="preserve">Capital al inicio del período en el calendario ORIGINAL, sin recalcular por pagos reales.</t>
      </text>
    </comment>
    <comment authorId="0" ref="G46">
      <text>
        <t xml:space="preserve">Tasa efectiva del mes según la base ingresada.</t>
      </text>
    </comment>
    <comment authorId="0" ref="H46">
      <text>
        <t xml:space="preserve">Interés del período = capital inicial × tasa mensual, redondeado a dos decimales.</t>
      </text>
    </comment>
    <comment authorId="0" ref="I46">
      <text>
        <t xml:space="preserve">Capital e interés pactados. La última cuota ajusta el saldo por redondeo.</t>
      </text>
    </comment>
    <comment authorId="0" ref="J46">
      <text>
        <t xml:space="preserve">Capital amortizado TEÓRICO = cuota base − interés, limitado al saldo.</t>
      </text>
    </comment>
    <comment authorId="0" ref="K46">
      <text>
        <t xml:space="preserve">Seguro y otros cargos fijos del mes.</t>
      </text>
    </comment>
    <comment authorId="0" ref="L46">
      <text>
        <t xml:space="preserve">Cuota base + cargos.</t>
      </text>
    </comment>
    <comment authorId="0" ref="M46">
      <text>
        <t xml:space="preserve">Capital final del calendario teórico. No equivale al saldo real si hay pagos parciales o atrasos.</t>
      </text>
    </comment>
    <comment authorId="0" ref="N46">
      <text>
        <t xml:space="preserve">Suma de pagos válidos del mismo ID y cuota con fecha igual o anterior al corte.</t>
      </text>
    </comment>
    <comment authorId="0" ref="O46">
      <text>
        <t xml:space="preserve">MIN(amortización pactada; MAX(0; pagado − cargos − interés)). No imputa excedentes a otras cuotas.</t>
      </text>
    </comment>
    <comment authorId="0" ref="P46">
      <text>
        <t xml:space="preserve">MAX(0; total pactado − pagado a esta cuota). Incluye capital, interés y cargos pendientes de ESA cuota.</t>
      </text>
    </comment>
    <comment authorId="0" ref="Q46">
      <text>
        <t xml:space="preserve">Días desde vencimiento hasta corte, solo si venció antes del corte y sigue con saldo.</t>
      </text>
    </comment>
    <comment authorId="0" ref="R46">
      <text>
        <t xml:space="preserve">MAX(0; pagado − cuota pactada). Exceso para revisar: no se traspasa a otra cuota.</t>
      </text>
    </comment>
    <comment authorId="0" ref="C575">
      <text>
        <t xml:space="preserve">Crédito al que corresponde esta cuota.</t>
      </text>
    </comment>
    <comment authorId="0" ref="S46">
      <text>
        <t xml:space="preserve">Pagada, Vencida, Vence hoy, Por vencer o Exceso sin imputar según fecha y saldo al corte.</t>
      </text>
    </comment>
    <comment authorId="0" ref="D575">
      <text>
        <t xml:space="preserve">Número de cuota dentro del crédito.</t>
      </text>
    </comment>
    <comment authorId="0" ref="T46">
      <text>
        <t xml:space="preserve">Auxiliar para encontrar la primera cuota pendiente. El 999999 indica que esta cuota no tiene saldo pendiente o está fuera del plazo, y no es una fecha real.</t>
      </text>
    </comment>
    <comment authorId="0" ref="E575">
      <text>
        <t xml:space="preserve">Fecha según EDATE a partir del primer vencimiento. No ajusta automáticamente feriados.</t>
      </text>
    </comment>
    <comment authorId="0" ref="F575">
      <text>
        <t xml:space="preserve">Capital al inicio del período en el calendario ORIGINAL, sin recalcular por pagos reales.</t>
      </text>
    </comment>
    <comment authorId="0" ref="G575">
      <text>
        <t xml:space="preserve">Tasa efectiva del mes según la base ingresada.</t>
      </text>
    </comment>
    <comment authorId="0" ref="H575">
      <text>
        <t xml:space="preserve">Interés del período = capital inicial × tasa mensual, redondeado a dos decimales.</t>
      </text>
    </comment>
    <comment authorId="0" ref="I575">
      <text>
        <t xml:space="preserve">Capital e interés pactados. La última cuota ajusta el saldo por redondeo.</t>
      </text>
    </comment>
    <comment authorId="0" ref="J575">
      <text>
        <t xml:space="preserve">Capital amortizado TEÓRICO = cuota base − interés, limitado al saldo.</t>
      </text>
    </comment>
    <comment authorId="0" ref="K575">
      <text>
        <t xml:space="preserve">Seguro y otros cargos fijos del mes.</t>
      </text>
    </comment>
    <comment authorId="0" ref="L575">
      <text>
        <t xml:space="preserve">Cuota base + cargos.</t>
      </text>
    </comment>
    <comment authorId="0" ref="M575">
      <text>
        <t xml:space="preserve">Capital final del calendario teórico. No equivale al saldo real si hay pagos parciales o atrasos.</t>
      </text>
    </comment>
    <comment authorId="0" ref="N575">
      <text>
        <t xml:space="preserve">Suma de pagos válidos del mismo ID y cuota con fecha igual o anterior al corte.</t>
      </text>
    </comment>
    <comment authorId="0" ref="O575">
      <text>
        <t xml:space="preserve">MIN(amortización pactada; MAX(0; pagado − cargos − interés)). No imputa excedentes a otras cuotas.</t>
      </text>
    </comment>
    <comment authorId="0" ref="P575">
      <text>
        <t xml:space="preserve">MAX(0; total pactado − pagado a esta cuota). Incluye capital, interés y cargos pendientes de ESA cuota.</t>
      </text>
    </comment>
    <comment authorId="0" ref="Q575">
      <text>
        <t xml:space="preserve">Días desde vencimiento hasta corte, solo si venció antes del corte y sigue con saldo.</t>
      </text>
    </comment>
    <comment authorId="0" ref="R575">
      <text>
        <t xml:space="preserve">MAX(0; pagado − cuota pactada). Exceso para revisar: no se traspasa a otra cuota.</t>
      </text>
    </comment>
    <comment authorId="0" ref="C47">
      <text>
        <t xml:space="preserve">Crédito al que corresponde esta cuota.</t>
      </text>
    </comment>
    <comment authorId="0" ref="S575">
      <text>
        <t xml:space="preserve">Pagada, Vencida, Vence hoy, Por vencer o Exceso sin imputar según fecha y saldo al corte.</t>
      </text>
    </comment>
    <comment authorId="0" ref="D47">
      <text>
        <t xml:space="preserve">Número de cuota dentro del crédito.</t>
      </text>
    </comment>
    <comment authorId="0" ref="T575">
      <text>
        <t xml:space="preserve">Auxiliar para encontrar la primera cuota pendiente. El 999999 indica que esta cuota no tiene saldo pendiente o está fuera del plazo, y no es una fecha real.</t>
      </text>
    </comment>
    <comment authorId="0" ref="E47">
      <text>
        <t xml:space="preserve">Fecha según EDATE a partir del primer vencimiento. No ajusta automáticamente feriados.</t>
      </text>
    </comment>
    <comment authorId="0" ref="F47">
      <text>
        <t xml:space="preserve">Capital al inicio del período en el calendario ORIGINAL, sin recalcular por pagos reales.</t>
      </text>
    </comment>
    <comment authorId="0" ref="G47">
      <text>
        <t xml:space="preserve">Tasa efectiva del mes según la base ingresada.</t>
      </text>
    </comment>
    <comment authorId="0" ref="H47">
      <text>
        <t xml:space="preserve">Interés del período = capital inicial × tasa mensual, redondeado a dos decimales.</t>
      </text>
    </comment>
    <comment authorId="0" ref="I47">
      <text>
        <t xml:space="preserve">Capital e interés pactados. La última cuota ajusta el saldo por redondeo.</t>
      </text>
    </comment>
    <comment authorId="0" ref="J47">
      <text>
        <t xml:space="preserve">Capital amortizado TEÓRICO = cuota base − interés, limitado al saldo.</t>
      </text>
    </comment>
    <comment authorId="0" ref="K47">
      <text>
        <t xml:space="preserve">Seguro y otros cargos fijos del mes.</t>
      </text>
    </comment>
    <comment authorId="0" ref="L47">
      <text>
        <t xml:space="preserve">Cuota base + cargos.</t>
      </text>
    </comment>
    <comment authorId="0" ref="M47">
      <text>
        <t xml:space="preserve">Capital final del calendario teórico. No equivale al saldo real si hay pagos parciales o atrasos.</t>
      </text>
    </comment>
    <comment authorId="0" ref="N47">
      <text>
        <t xml:space="preserve">Suma de pagos válidos del mismo ID y cuota con fecha igual o anterior al corte.</t>
      </text>
    </comment>
    <comment authorId="0" ref="O47">
      <text>
        <t xml:space="preserve">MIN(amortización pactada; MAX(0; pagado − cargos − interés)). No imputa excedentes a otras cuotas.</t>
      </text>
    </comment>
    <comment authorId="0" ref="P47">
      <text>
        <t xml:space="preserve">MAX(0; total pactado − pagado a esta cuota). Incluye capital, interés y cargos pendientes de ESA cuota.</t>
      </text>
    </comment>
    <comment authorId="0" ref="Q47">
      <text>
        <t xml:space="preserve">Días desde vencimiento hasta corte, solo si venció antes del corte y sigue con saldo.</t>
      </text>
    </comment>
    <comment authorId="0" ref="R47">
      <text>
        <t xml:space="preserve">MAX(0; pagado − cuota pactada). Exceso para revisar: no se traspasa a otra cuota.</t>
      </text>
    </comment>
    <comment authorId="0" ref="C576">
      <text>
        <t xml:space="preserve">Crédito al que corresponde esta cuota.</t>
      </text>
    </comment>
    <comment authorId="0" ref="S47">
      <text>
        <t xml:space="preserve">Pagada, Vencida, Vence hoy, Por vencer o Exceso sin imputar según fecha y saldo al corte.</t>
      </text>
    </comment>
    <comment authorId="0" ref="D576">
      <text>
        <t xml:space="preserve">Número de cuota dentro del crédito.</t>
      </text>
    </comment>
    <comment authorId="0" ref="T47">
      <text>
        <t xml:space="preserve">Auxiliar para encontrar la primera cuota pendiente. El 999999 indica que esta cuota no tiene saldo pendiente o está fuera del plazo, y no es una fecha real.</t>
      </text>
    </comment>
    <comment authorId="0" ref="E576">
      <text>
        <t xml:space="preserve">Fecha según EDATE a partir del primer vencimiento. No ajusta automáticamente feriados.</t>
      </text>
    </comment>
    <comment authorId="0" ref="F576">
      <text>
        <t xml:space="preserve">Capital al inicio del período en el calendario ORIGINAL, sin recalcular por pagos reales.</t>
      </text>
    </comment>
    <comment authorId="0" ref="G576">
      <text>
        <t xml:space="preserve">Tasa efectiva del mes según la base ingresada.</t>
      </text>
    </comment>
    <comment authorId="0" ref="H576">
      <text>
        <t xml:space="preserve">Interés del período = capital inicial × tasa mensual, redondeado a dos decimales.</t>
      </text>
    </comment>
    <comment authorId="0" ref="I576">
      <text>
        <t xml:space="preserve">Capital e interés pactados. La última cuota ajusta el saldo por redondeo.</t>
      </text>
    </comment>
    <comment authorId="0" ref="J576">
      <text>
        <t xml:space="preserve">Capital amortizado TEÓRICO = cuota base − interés, limitado al saldo.</t>
      </text>
    </comment>
    <comment authorId="0" ref="K576">
      <text>
        <t xml:space="preserve">Seguro y otros cargos fijos del mes.</t>
      </text>
    </comment>
    <comment authorId="0" ref="L576">
      <text>
        <t xml:space="preserve">Cuota base + cargos.</t>
      </text>
    </comment>
    <comment authorId="0" ref="M576">
      <text>
        <t xml:space="preserve">Capital final del calendario teórico. No equivale al saldo real si hay pagos parciales o atrasos.</t>
      </text>
    </comment>
    <comment authorId="0" ref="N576">
      <text>
        <t xml:space="preserve">Suma de pagos válidos del mismo ID y cuota con fecha igual o anterior al corte.</t>
      </text>
    </comment>
    <comment authorId="0" ref="O576">
      <text>
        <t xml:space="preserve">MIN(amortización pactada; MAX(0; pagado − cargos − interés)). No imputa excedentes a otras cuotas.</t>
      </text>
    </comment>
    <comment authorId="0" ref="P576">
      <text>
        <t xml:space="preserve">MAX(0; total pactado − pagado a esta cuota). Incluye capital, interés y cargos pendientes de ESA cuota.</t>
      </text>
    </comment>
    <comment authorId="0" ref="Q576">
      <text>
        <t xml:space="preserve">Días desde vencimiento hasta corte, solo si venció antes del corte y sigue con saldo.</t>
      </text>
    </comment>
    <comment authorId="0" ref="R576">
      <text>
        <t xml:space="preserve">MAX(0; pagado − cuota pactada). Exceso para revisar: no se traspasa a otra cuota.</t>
      </text>
    </comment>
    <comment authorId="0" ref="C48">
      <text>
        <t xml:space="preserve">Crédito al que corresponde esta cuota.</t>
      </text>
    </comment>
    <comment authorId="0" ref="S576">
      <text>
        <t xml:space="preserve">Pagada, Vencida, Vence hoy, Por vencer o Exceso sin imputar según fecha y saldo al corte.</t>
      </text>
    </comment>
    <comment authorId="0" ref="D48">
      <text>
        <t xml:space="preserve">Número de cuota dentro del crédito.</t>
      </text>
    </comment>
    <comment authorId="0" ref="T576">
      <text>
        <t xml:space="preserve">Auxiliar para encontrar la primera cuota pendiente. El 999999 indica que esta cuota no tiene saldo pendiente o está fuera del plazo, y no es una fecha real.</t>
      </text>
    </comment>
    <comment authorId="0" ref="E48">
      <text>
        <t xml:space="preserve">Fecha según EDATE a partir del primer vencimiento. No ajusta automáticamente feriados.</t>
      </text>
    </comment>
    <comment authorId="0" ref="F48">
      <text>
        <t xml:space="preserve">Capital al inicio del período en el calendario ORIGINAL, sin recalcular por pagos reales.</t>
      </text>
    </comment>
    <comment authorId="0" ref="G48">
      <text>
        <t xml:space="preserve">Tasa efectiva del mes según la base ingresada.</t>
      </text>
    </comment>
    <comment authorId="0" ref="H48">
      <text>
        <t xml:space="preserve">Interés del período = capital inicial × tasa mensual, redondeado a dos decimales.</t>
      </text>
    </comment>
    <comment authorId="0" ref="I48">
      <text>
        <t xml:space="preserve">Capital e interés pactados. La última cuota ajusta el saldo por redondeo.</t>
      </text>
    </comment>
    <comment authorId="0" ref="J48">
      <text>
        <t xml:space="preserve">Capital amortizado TEÓRICO = cuota base − interés, limitado al saldo.</t>
      </text>
    </comment>
    <comment authorId="0" ref="K48">
      <text>
        <t xml:space="preserve">Seguro y otros cargos fijos del mes.</t>
      </text>
    </comment>
    <comment authorId="0" ref="L48">
      <text>
        <t xml:space="preserve">Cuota base + cargos.</t>
      </text>
    </comment>
    <comment authorId="0" ref="M48">
      <text>
        <t xml:space="preserve">Capital final del calendario teórico. No equivale al saldo real si hay pagos parciales o atrasos.</t>
      </text>
    </comment>
    <comment authorId="0" ref="N48">
      <text>
        <t xml:space="preserve">Suma de pagos válidos del mismo ID y cuota con fecha igual o anterior al corte.</t>
      </text>
    </comment>
    <comment authorId="0" ref="O48">
      <text>
        <t xml:space="preserve">MIN(amortización pactada; MAX(0; pagado − cargos − interés)). No imputa excedentes a otras cuotas.</t>
      </text>
    </comment>
    <comment authorId="0" ref="P48">
      <text>
        <t xml:space="preserve">MAX(0; total pactado − pagado a esta cuota). Incluye capital, interés y cargos pendientes de ESA cuota.</t>
      </text>
    </comment>
    <comment authorId="0" ref="Q48">
      <text>
        <t xml:space="preserve">Días desde vencimiento hasta corte, solo si venció antes del corte y sigue con saldo.</t>
      </text>
    </comment>
    <comment authorId="0" ref="R48">
      <text>
        <t xml:space="preserve">MAX(0; pagado − cuota pactada). Exceso para revisar: no se traspasa a otra cuota.</t>
      </text>
    </comment>
    <comment authorId="0" ref="C577">
      <text>
        <t xml:space="preserve">Crédito al que corresponde esta cuota.</t>
      </text>
    </comment>
    <comment authorId="0" ref="S48">
      <text>
        <t xml:space="preserve">Pagada, Vencida, Vence hoy, Por vencer o Exceso sin imputar según fecha y saldo al corte.</t>
      </text>
    </comment>
    <comment authorId="0" ref="D577">
      <text>
        <t xml:space="preserve">Número de cuota dentro del crédito.</t>
      </text>
    </comment>
    <comment authorId="0" ref="T48">
      <text>
        <t xml:space="preserve">Auxiliar para encontrar la primera cuota pendiente. El 999999 indica que esta cuota no tiene saldo pendiente o está fuera del plazo, y no es una fecha real.</t>
      </text>
    </comment>
    <comment authorId="0" ref="E577">
      <text>
        <t xml:space="preserve">Fecha según EDATE a partir del primer vencimiento. No ajusta automáticamente feriados.</t>
      </text>
    </comment>
    <comment authorId="0" ref="F577">
      <text>
        <t xml:space="preserve">Capital al inicio del período en el calendario ORIGINAL, sin recalcular por pagos reales.</t>
      </text>
    </comment>
    <comment authorId="0" ref="G577">
      <text>
        <t xml:space="preserve">Tasa efectiva del mes según la base ingresada.</t>
      </text>
    </comment>
    <comment authorId="0" ref="H577">
      <text>
        <t xml:space="preserve">Interés del período = capital inicial × tasa mensual, redondeado a dos decimales.</t>
      </text>
    </comment>
    <comment authorId="0" ref="I577">
      <text>
        <t xml:space="preserve">Capital e interés pactados. La última cuota ajusta el saldo por redondeo.</t>
      </text>
    </comment>
    <comment authorId="0" ref="J577">
      <text>
        <t xml:space="preserve">Capital amortizado TEÓRICO = cuota base − interés, limitado al saldo.</t>
      </text>
    </comment>
    <comment authorId="0" ref="K577">
      <text>
        <t xml:space="preserve">Seguro y otros cargos fijos del mes.</t>
      </text>
    </comment>
    <comment authorId="0" ref="L577">
      <text>
        <t xml:space="preserve">Cuota base + cargos.</t>
      </text>
    </comment>
    <comment authorId="0" ref="M577">
      <text>
        <t xml:space="preserve">Capital final del calendario teórico. No equivale al saldo real si hay pagos parciales o atrasos.</t>
      </text>
    </comment>
    <comment authorId="0" ref="N577">
      <text>
        <t xml:space="preserve">Suma de pagos válidos del mismo ID y cuota con fecha igual o anterior al corte.</t>
      </text>
    </comment>
    <comment authorId="0" ref="O577">
      <text>
        <t xml:space="preserve">MIN(amortización pactada; MAX(0; pagado − cargos − interés)). No imputa excedentes a otras cuotas.</t>
      </text>
    </comment>
    <comment authorId="0" ref="P577">
      <text>
        <t xml:space="preserve">MAX(0; total pactado − pagado a esta cuota). Incluye capital, interés y cargos pendientes de ESA cuota.</t>
      </text>
    </comment>
    <comment authorId="0" ref="Q577">
      <text>
        <t xml:space="preserve">Días desde vencimiento hasta corte, solo si venció antes del corte y sigue con saldo.</t>
      </text>
    </comment>
    <comment authorId="0" ref="R577">
      <text>
        <t xml:space="preserve">MAX(0; pagado − cuota pactada). Exceso para revisar: no se traspasa a otra cuota.</t>
      </text>
    </comment>
    <comment authorId="0" ref="C49">
      <text>
        <t xml:space="preserve">Crédito al que corresponde esta cuota.</t>
      </text>
    </comment>
    <comment authorId="0" ref="S577">
      <text>
        <t xml:space="preserve">Pagada, Vencida, Vence hoy, Por vencer o Exceso sin imputar según fecha y saldo al corte.</t>
      </text>
    </comment>
    <comment authorId="0" ref="D49">
      <text>
        <t xml:space="preserve">Número de cuota dentro del crédito.</t>
      </text>
    </comment>
    <comment authorId="0" ref="T577">
      <text>
        <t xml:space="preserve">Auxiliar para encontrar la primera cuota pendiente. El 999999 indica que esta cuota no tiene saldo pendiente o está fuera del plazo, y no es una fecha real.</t>
      </text>
    </comment>
    <comment authorId="0" ref="E49">
      <text>
        <t xml:space="preserve">Fecha según EDATE a partir del primer vencimiento. No ajusta automáticamente feriados.</t>
      </text>
    </comment>
    <comment authorId="0" ref="F49">
      <text>
        <t xml:space="preserve">Capital al inicio del período en el calendario ORIGINAL, sin recalcular por pagos reales.</t>
      </text>
    </comment>
    <comment authorId="0" ref="G49">
      <text>
        <t xml:space="preserve">Tasa efectiva del mes según la base ingresada.</t>
      </text>
    </comment>
    <comment authorId="0" ref="H49">
      <text>
        <t xml:space="preserve">Interés del período = capital inicial × tasa mensual, redondeado a dos decimales.</t>
      </text>
    </comment>
    <comment authorId="0" ref="I49">
      <text>
        <t xml:space="preserve">Capital e interés pactados. La última cuota ajusta el saldo por redondeo.</t>
      </text>
    </comment>
    <comment authorId="0" ref="J49">
      <text>
        <t xml:space="preserve">Capital amortizado TEÓRICO = cuota base − interés, limitado al saldo.</t>
      </text>
    </comment>
    <comment authorId="0" ref="K49">
      <text>
        <t xml:space="preserve">Seguro y otros cargos fijos del mes.</t>
      </text>
    </comment>
    <comment authorId="0" ref="L49">
      <text>
        <t xml:space="preserve">Cuota base + cargos.</t>
      </text>
    </comment>
    <comment authorId="0" ref="M49">
      <text>
        <t xml:space="preserve">Capital final del calendario teórico. No equivale al saldo real si hay pagos parciales o atrasos.</t>
      </text>
    </comment>
    <comment authorId="0" ref="N49">
      <text>
        <t xml:space="preserve">Suma de pagos válidos del mismo ID y cuota con fecha igual o anterior al corte.</t>
      </text>
    </comment>
    <comment authorId="0" ref="O49">
      <text>
        <t xml:space="preserve">MIN(amortización pactada; MAX(0; pagado − cargos − interés)). No imputa excedentes a otras cuotas.</t>
      </text>
    </comment>
    <comment authorId="0" ref="P49">
      <text>
        <t xml:space="preserve">MAX(0; total pactado − pagado a esta cuota). Incluye capital, interés y cargos pendientes de ESA cuota.</t>
      </text>
    </comment>
    <comment authorId="0" ref="Q49">
      <text>
        <t xml:space="preserve">Días desde vencimiento hasta corte, solo si venció antes del corte y sigue con saldo.</t>
      </text>
    </comment>
    <comment authorId="0" ref="R49">
      <text>
        <t xml:space="preserve">MAX(0; pagado − cuota pactada). Exceso para revisar: no se traspasa a otra cuota.</t>
      </text>
    </comment>
    <comment authorId="0" ref="C578">
      <text>
        <t xml:space="preserve">Crédito al que corresponde esta cuota.</t>
      </text>
    </comment>
    <comment authorId="0" ref="S49">
      <text>
        <t xml:space="preserve">Pagada, Vencida, Vence hoy, Por vencer o Exceso sin imputar según fecha y saldo al corte.</t>
      </text>
    </comment>
    <comment authorId="0" ref="D578">
      <text>
        <t xml:space="preserve">Número de cuota dentro del crédito.</t>
      </text>
    </comment>
    <comment authorId="0" ref="T49">
      <text>
        <t xml:space="preserve">Auxiliar para encontrar la primera cuota pendiente. El 999999 indica que esta cuota no tiene saldo pendiente o está fuera del plazo, y no es una fecha real.</t>
      </text>
    </comment>
    <comment authorId="0" ref="E578">
      <text>
        <t xml:space="preserve">Fecha según EDATE a partir del primer vencimiento. No ajusta automáticamente feriados.</t>
      </text>
    </comment>
    <comment authorId="0" ref="F578">
      <text>
        <t xml:space="preserve">Capital al inicio del período en el calendario ORIGINAL, sin recalcular por pagos reales.</t>
      </text>
    </comment>
    <comment authorId="0" ref="G578">
      <text>
        <t xml:space="preserve">Tasa efectiva del mes según la base ingresada.</t>
      </text>
    </comment>
    <comment authorId="0" ref="H578">
      <text>
        <t xml:space="preserve">Interés del período = capital inicial × tasa mensual, redondeado a dos decimales.</t>
      </text>
    </comment>
    <comment authorId="0" ref="I578">
      <text>
        <t xml:space="preserve">Capital e interés pactados. La última cuota ajusta el saldo por redondeo.</t>
      </text>
    </comment>
    <comment authorId="0" ref="J578">
      <text>
        <t xml:space="preserve">Capital amortizado TEÓRICO = cuota base − interés, limitado al saldo.</t>
      </text>
    </comment>
    <comment authorId="0" ref="K578">
      <text>
        <t xml:space="preserve">Seguro y otros cargos fijos del mes.</t>
      </text>
    </comment>
    <comment authorId="0" ref="L578">
      <text>
        <t xml:space="preserve">Cuota base + cargos.</t>
      </text>
    </comment>
    <comment authorId="0" ref="M578">
      <text>
        <t xml:space="preserve">Capital final del calendario teórico. No equivale al saldo real si hay pagos parciales o atrasos.</t>
      </text>
    </comment>
    <comment authorId="0" ref="N578">
      <text>
        <t xml:space="preserve">Suma de pagos válidos del mismo ID y cuota con fecha igual o anterior al corte.</t>
      </text>
    </comment>
    <comment authorId="0" ref="O578">
      <text>
        <t xml:space="preserve">MIN(amortización pactada; MAX(0; pagado − cargos − interés)). No imputa excedentes a otras cuotas.</t>
      </text>
    </comment>
    <comment authorId="0" ref="P578">
      <text>
        <t xml:space="preserve">MAX(0; total pactado − pagado a esta cuota). Incluye capital, interés y cargos pendientes de ESA cuota.</t>
      </text>
    </comment>
    <comment authorId="0" ref="Q578">
      <text>
        <t xml:space="preserve">Días desde vencimiento hasta corte, solo si venció antes del corte y sigue con saldo.</t>
      </text>
    </comment>
    <comment authorId="0" ref="R578">
      <text>
        <t xml:space="preserve">MAX(0; pagado − cuota pactada). Exceso para revisar: no se traspasa a otra cuota.</t>
      </text>
    </comment>
    <comment authorId="0" ref="C50">
      <text>
        <t xml:space="preserve">Crédito al que corresponde esta cuota.</t>
      </text>
    </comment>
    <comment authorId="0" ref="S578">
      <text>
        <t xml:space="preserve">Pagada, Vencida, Vence hoy, Por vencer o Exceso sin imputar según fecha y saldo al corte.</t>
      </text>
    </comment>
    <comment authorId="0" ref="D50">
      <text>
        <t xml:space="preserve">Número de cuota dentro del crédito.</t>
      </text>
    </comment>
    <comment authorId="0" ref="T578">
      <text>
        <t xml:space="preserve">Auxiliar para encontrar la primera cuota pendiente. El 999999 indica que esta cuota no tiene saldo pendiente o está fuera del plazo, y no es una fecha real.</t>
      </text>
    </comment>
    <comment authorId="0" ref="E50">
      <text>
        <t xml:space="preserve">Fecha según EDATE a partir del primer vencimiento. No ajusta automáticamente feriados.</t>
      </text>
    </comment>
    <comment authorId="0" ref="F50">
      <text>
        <t xml:space="preserve">Capital al inicio del período en el calendario ORIGINAL, sin recalcular por pagos reales.</t>
      </text>
    </comment>
    <comment authorId="0" ref="G50">
      <text>
        <t xml:space="preserve">Tasa efectiva del mes según la base ingresada.</t>
      </text>
    </comment>
    <comment authorId="0" ref="H50">
      <text>
        <t xml:space="preserve">Interés del período = capital inicial × tasa mensual, redondeado a dos decimales.</t>
      </text>
    </comment>
    <comment authorId="0" ref="I50">
      <text>
        <t xml:space="preserve">Capital e interés pactados. La última cuota ajusta el saldo por redondeo.</t>
      </text>
    </comment>
    <comment authorId="0" ref="J50">
      <text>
        <t xml:space="preserve">Capital amortizado TEÓRICO = cuota base − interés, limitado al saldo.</t>
      </text>
    </comment>
    <comment authorId="0" ref="K50">
      <text>
        <t xml:space="preserve">Seguro y otros cargos fijos del mes.</t>
      </text>
    </comment>
    <comment authorId="0" ref="L50">
      <text>
        <t xml:space="preserve">Cuota base + cargos.</t>
      </text>
    </comment>
    <comment authorId="0" ref="M50">
      <text>
        <t xml:space="preserve">Capital final del calendario teórico. No equivale al saldo real si hay pagos parciales o atrasos.</t>
      </text>
    </comment>
    <comment authorId="0" ref="N50">
      <text>
        <t xml:space="preserve">Suma de pagos válidos del mismo ID y cuota con fecha igual o anterior al corte.</t>
      </text>
    </comment>
    <comment authorId="0" ref="O50">
      <text>
        <t xml:space="preserve">MIN(amortización pactada; MAX(0; pagado − cargos − interés)). No imputa excedentes a otras cuotas.</t>
      </text>
    </comment>
    <comment authorId="0" ref="P50">
      <text>
        <t xml:space="preserve">MAX(0; total pactado − pagado a esta cuota). Incluye capital, interés y cargos pendientes de ESA cuota.</t>
      </text>
    </comment>
    <comment authorId="0" ref="Q50">
      <text>
        <t xml:space="preserve">Días desde vencimiento hasta corte, solo si venció antes del corte y sigue con saldo.</t>
      </text>
    </comment>
    <comment authorId="0" ref="R50">
      <text>
        <t xml:space="preserve">MAX(0; pagado − cuota pactada). Exceso para revisar: no se traspasa a otra cuota.</t>
      </text>
    </comment>
    <comment authorId="0" ref="C579">
      <text>
        <t xml:space="preserve">Crédito al que corresponde esta cuota.</t>
      </text>
    </comment>
    <comment authorId="0" ref="S50">
      <text>
        <t xml:space="preserve">Pagada, Vencida, Vence hoy, Por vencer o Exceso sin imputar según fecha y saldo al corte.</t>
      </text>
    </comment>
    <comment authorId="0" ref="D579">
      <text>
        <t xml:space="preserve">Número de cuota dentro del crédito.</t>
      </text>
    </comment>
    <comment authorId="0" ref="T50">
      <text>
        <t xml:space="preserve">Auxiliar para encontrar la primera cuota pendiente. El 999999 indica que esta cuota no tiene saldo pendiente o está fuera del plazo, y no es una fecha real.</t>
      </text>
    </comment>
    <comment authorId="0" ref="E579">
      <text>
        <t xml:space="preserve">Fecha según EDATE a partir del primer vencimiento. No ajusta automáticamente feriados.</t>
      </text>
    </comment>
    <comment authorId="0" ref="F579">
      <text>
        <t xml:space="preserve">Capital al inicio del período en el calendario ORIGINAL, sin recalcular por pagos reales.</t>
      </text>
    </comment>
    <comment authorId="0" ref="G579">
      <text>
        <t xml:space="preserve">Tasa efectiva del mes según la base ingresada.</t>
      </text>
    </comment>
    <comment authorId="0" ref="H579">
      <text>
        <t xml:space="preserve">Interés del período = capital inicial × tasa mensual, redondeado a dos decimales.</t>
      </text>
    </comment>
    <comment authorId="0" ref="I579">
      <text>
        <t xml:space="preserve">Capital e interés pactados. La última cuota ajusta el saldo por redondeo.</t>
      </text>
    </comment>
    <comment authorId="0" ref="J579">
      <text>
        <t xml:space="preserve">Capital amortizado TEÓRICO = cuota base − interés, limitado al saldo.</t>
      </text>
    </comment>
    <comment authorId="0" ref="K579">
      <text>
        <t xml:space="preserve">Seguro y otros cargos fijos del mes.</t>
      </text>
    </comment>
    <comment authorId="0" ref="L579">
      <text>
        <t xml:space="preserve">Cuota base + cargos.</t>
      </text>
    </comment>
    <comment authorId="0" ref="M579">
      <text>
        <t xml:space="preserve">Capital final del calendario teórico. No equivale al saldo real si hay pagos parciales o atrasos.</t>
      </text>
    </comment>
    <comment authorId="0" ref="N579">
      <text>
        <t xml:space="preserve">Suma de pagos válidos del mismo ID y cuota con fecha igual o anterior al corte.</t>
      </text>
    </comment>
    <comment authorId="0" ref="O579">
      <text>
        <t xml:space="preserve">MIN(amortización pactada; MAX(0; pagado − cargos − interés)). No imputa excedentes a otras cuotas.</t>
      </text>
    </comment>
    <comment authorId="0" ref="P579">
      <text>
        <t xml:space="preserve">MAX(0; total pactado − pagado a esta cuota). Incluye capital, interés y cargos pendientes de ESA cuota.</t>
      </text>
    </comment>
    <comment authorId="0" ref="Q579">
      <text>
        <t xml:space="preserve">Días desde vencimiento hasta corte, solo si venció antes del corte y sigue con saldo.</t>
      </text>
    </comment>
    <comment authorId="0" ref="R579">
      <text>
        <t xml:space="preserve">MAX(0; pagado − cuota pactada). Exceso para revisar: no se traspasa a otra cuota.</t>
      </text>
    </comment>
    <comment authorId="0" ref="C51">
      <text>
        <t xml:space="preserve">Crédito al que corresponde esta cuota.</t>
      </text>
    </comment>
    <comment authorId="0" ref="S579">
      <text>
        <t xml:space="preserve">Pagada, Vencida, Vence hoy, Por vencer o Exceso sin imputar según fecha y saldo al corte.</t>
      </text>
    </comment>
    <comment authorId="0" ref="D51">
      <text>
        <t xml:space="preserve">Número de cuota dentro del crédito.</t>
      </text>
    </comment>
    <comment authorId="0" ref="T579">
      <text>
        <t xml:space="preserve">Auxiliar para encontrar la primera cuota pendiente. El 999999 indica que esta cuota no tiene saldo pendiente o está fuera del plazo, y no es una fecha real.</t>
      </text>
    </comment>
    <comment authorId="0" ref="E51">
      <text>
        <t xml:space="preserve">Fecha según EDATE a partir del primer vencimiento. No ajusta automáticamente feriados.</t>
      </text>
    </comment>
    <comment authorId="0" ref="F51">
      <text>
        <t xml:space="preserve">Capital al inicio del período en el calendario ORIGINAL, sin recalcular por pagos reales.</t>
      </text>
    </comment>
    <comment authorId="0" ref="G51">
      <text>
        <t xml:space="preserve">Tasa efectiva del mes según la base ingresada.</t>
      </text>
    </comment>
    <comment authorId="0" ref="H51">
      <text>
        <t xml:space="preserve">Interés del período = capital inicial × tasa mensual, redondeado a dos decimales.</t>
      </text>
    </comment>
    <comment authorId="0" ref="I51">
      <text>
        <t xml:space="preserve">Capital e interés pactados. La última cuota ajusta el saldo por redondeo.</t>
      </text>
    </comment>
    <comment authorId="0" ref="J51">
      <text>
        <t xml:space="preserve">Capital amortizado TEÓRICO = cuota base − interés, limitado al saldo.</t>
      </text>
    </comment>
    <comment authorId="0" ref="K51">
      <text>
        <t xml:space="preserve">Seguro y otros cargos fijos del mes.</t>
      </text>
    </comment>
    <comment authorId="0" ref="L51">
      <text>
        <t xml:space="preserve">Cuota base + cargos.</t>
      </text>
    </comment>
    <comment authorId="0" ref="M51">
      <text>
        <t xml:space="preserve">Capital final del calendario teórico. No equivale al saldo real si hay pagos parciales o atrasos.</t>
      </text>
    </comment>
    <comment authorId="0" ref="N51">
      <text>
        <t xml:space="preserve">Suma de pagos válidos del mismo ID y cuota con fecha igual o anterior al corte.</t>
      </text>
    </comment>
    <comment authorId="0" ref="O51">
      <text>
        <t xml:space="preserve">MIN(amortización pactada; MAX(0; pagado − cargos − interés)). No imputa excedentes a otras cuotas.</t>
      </text>
    </comment>
    <comment authorId="0" ref="P51">
      <text>
        <t xml:space="preserve">MAX(0; total pactado − pagado a esta cuota). Incluye capital, interés y cargos pendientes de ESA cuota.</t>
      </text>
    </comment>
    <comment authorId="0" ref="Q51">
      <text>
        <t xml:space="preserve">Días desde vencimiento hasta corte, solo si venció antes del corte y sigue con saldo.</t>
      </text>
    </comment>
    <comment authorId="0" ref="R51">
      <text>
        <t xml:space="preserve">MAX(0; pagado − cuota pactada). Exceso para revisar: no se traspasa a otra cuota.</t>
      </text>
    </comment>
    <comment authorId="0" ref="C580">
      <text>
        <t xml:space="preserve">Crédito al que corresponde esta cuota.</t>
      </text>
    </comment>
    <comment authorId="0" ref="S51">
      <text>
        <t xml:space="preserve">Pagada, Vencida, Vence hoy, Por vencer o Exceso sin imputar según fecha y saldo al corte.</t>
      </text>
    </comment>
    <comment authorId="0" ref="D580">
      <text>
        <t xml:space="preserve">Número de cuota dentro del crédito.</t>
      </text>
    </comment>
    <comment authorId="0" ref="T51">
      <text>
        <t xml:space="preserve">Auxiliar para encontrar la primera cuota pendiente. El 999999 indica que esta cuota no tiene saldo pendiente o está fuera del plazo, y no es una fecha real.</t>
      </text>
    </comment>
    <comment authorId="0" ref="E580">
      <text>
        <t xml:space="preserve">Fecha según EDATE a partir del primer vencimiento. No ajusta automáticamente feriados.</t>
      </text>
    </comment>
    <comment authorId="0" ref="F580">
      <text>
        <t xml:space="preserve">Capital al inicio del período en el calendario ORIGINAL, sin recalcular por pagos reales.</t>
      </text>
    </comment>
    <comment authorId="0" ref="G580">
      <text>
        <t xml:space="preserve">Tasa efectiva del mes según la base ingresada.</t>
      </text>
    </comment>
    <comment authorId="0" ref="H580">
      <text>
        <t xml:space="preserve">Interés del período = capital inicial × tasa mensual, redondeado a dos decimales.</t>
      </text>
    </comment>
    <comment authorId="0" ref="I580">
      <text>
        <t xml:space="preserve">Capital e interés pactados. La última cuota ajusta el saldo por redondeo.</t>
      </text>
    </comment>
    <comment authorId="0" ref="J580">
      <text>
        <t xml:space="preserve">Capital amortizado TEÓRICO = cuota base − interés, limitado al saldo.</t>
      </text>
    </comment>
    <comment authorId="0" ref="K580">
      <text>
        <t xml:space="preserve">Seguro y otros cargos fijos del mes.</t>
      </text>
    </comment>
    <comment authorId="0" ref="L580">
      <text>
        <t xml:space="preserve">Cuota base + cargos.</t>
      </text>
    </comment>
    <comment authorId="0" ref="M580">
      <text>
        <t xml:space="preserve">Capital final del calendario teórico. No equivale al saldo real si hay pagos parciales o atrasos.</t>
      </text>
    </comment>
    <comment authorId="0" ref="N580">
      <text>
        <t xml:space="preserve">Suma de pagos válidos del mismo ID y cuota con fecha igual o anterior al corte.</t>
      </text>
    </comment>
    <comment authorId="0" ref="O580">
      <text>
        <t xml:space="preserve">MIN(amortización pactada; MAX(0; pagado − cargos − interés)). No imputa excedentes a otras cuotas.</t>
      </text>
    </comment>
    <comment authorId="0" ref="P580">
      <text>
        <t xml:space="preserve">MAX(0; total pactado − pagado a esta cuota). Incluye capital, interés y cargos pendientes de ESA cuota.</t>
      </text>
    </comment>
    <comment authorId="0" ref="Q580">
      <text>
        <t xml:space="preserve">Días desde vencimiento hasta corte, solo si venció antes del corte y sigue con saldo.</t>
      </text>
    </comment>
    <comment authorId="0" ref="R580">
      <text>
        <t xml:space="preserve">MAX(0; pagado − cuota pactada). Exceso para revisar: no se traspasa a otra cuota.</t>
      </text>
    </comment>
    <comment authorId="0" ref="C52">
      <text>
        <t xml:space="preserve">Crédito al que corresponde esta cuota.</t>
      </text>
    </comment>
    <comment authorId="0" ref="S580">
      <text>
        <t xml:space="preserve">Pagada, Vencida, Vence hoy, Por vencer o Exceso sin imputar según fecha y saldo al corte.</t>
      </text>
    </comment>
    <comment authorId="0" ref="D52">
      <text>
        <t xml:space="preserve">Número de cuota dentro del crédito.</t>
      </text>
    </comment>
    <comment authorId="0" ref="T580">
      <text>
        <t xml:space="preserve">Auxiliar para encontrar la primera cuota pendiente. El 999999 indica que esta cuota no tiene saldo pendiente o está fuera del plazo, y no es una fecha real.</t>
      </text>
    </comment>
    <comment authorId="0" ref="E52">
      <text>
        <t xml:space="preserve">Fecha según EDATE a partir del primer vencimiento. No ajusta automáticamente feriados.</t>
      </text>
    </comment>
    <comment authorId="0" ref="F52">
      <text>
        <t xml:space="preserve">Capital al inicio del período en el calendario ORIGINAL, sin recalcular por pagos reales.</t>
      </text>
    </comment>
    <comment authorId="0" ref="G52">
      <text>
        <t xml:space="preserve">Tasa efectiva del mes según la base ingresada.</t>
      </text>
    </comment>
    <comment authorId="0" ref="H52">
      <text>
        <t xml:space="preserve">Interés del período = capital inicial × tasa mensual, redondeado a dos decimales.</t>
      </text>
    </comment>
    <comment authorId="0" ref="I52">
      <text>
        <t xml:space="preserve">Capital e interés pactados. La última cuota ajusta el saldo por redondeo.</t>
      </text>
    </comment>
    <comment authorId="0" ref="J52">
      <text>
        <t xml:space="preserve">Capital amortizado TEÓRICO = cuota base − interés, limitado al saldo.</t>
      </text>
    </comment>
    <comment authorId="0" ref="K52">
      <text>
        <t xml:space="preserve">Seguro y otros cargos fijos del mes.</t>
      </text>
    </comment>
    <comment authorId="0" ref="L52">
      <text>
        <t xml:space="preserve">Cuota base + cargos.</t>
      </text>
    </comment>
    <comment authorId="0" ref="M52">
      <text>
        <t xml:space="preserve">Capital final del calendario teórico. No equivale al saldo real si hay pagos parciales o atrasos.</t>
      </text>
    </comment>
    <comment authorId="0" ref="N52">
      <text>
        <t xml:space="preserve">Suma de pagos válidos del mismo ID y cuota con fecha igual o anterior al corte.</t>
      </text>
    </comment>
    <comment authorId="0" ref="O52">
      <text>
        <t xml:space="preserve">MIN(amortización pactada; MAX(0; pagado − cargos − interés)). No imputa excedentes a otras cuotas.</t>
      </text>
    </comment>
    <comment authorId="0" ref="P52">
      <text>
        <t xml:space="preserve">MAX(0; total pactado − pagado a esta cuota). Incluye capital, interés y cargos pendientes de ESA cuota.</t>
      </text>
    </comment>
    <comment authorId="0" ref="Q52">
      <text>
        <t xml:space="preserve">Días desde vencimiento hasta corte, solo si venció antes del corte y sigue con saldo.</t>
      </text>
    </comment>
    <comment authorId="0" ref="R52">
      <text>
        <t xml:space="preserve">MAX(0; pagado − cuota pactada). Exceso para revisar: no se traspasa a otra cuota.</t>
      </text>
    </comment>
    <comment authorId="0" ref="C581">
      <text>
        <t xml:space="preserve">Crédito al que corresponde esta cuota.</t>
      </text>
    </comment>
    <comment authorId="0" ref="S52">
      <text>
        <t xml:space="preserve">Pagada, Vencida, Vence hoy, Por vencer o Exceso sin imputar según fecha y saldo al corte.</t>
      </text>
    </comment>
    <comment authorId="0" ref="D581">
      <text>
        <t xml:space="preserve">Número de cuota dentro del crédito.</t>
      </text>
    </comment>
    <comment authorId="0" ref="T52">
      <text>
        <t xml:space="preserve">Auxiliar para encontrar la primera cuota pendiente. El 999999 indica que esta cuota no tiene saldo pendiente o está fuera del plazo, y no es una fecha real.</t>
      </text>
    </comment>
    <comment authorId="0" ref="E581">
      <text>
        <t xml:space="preserve">Fecha según EDATE a partir del primer vencimiento. No ajusta automáticamente feriados.</t>
      </text>
    </comment>
    <comment authorId="0" ref="F581">
      <text>
        <t xml:space="preserve">Capital al inicio del período en el calendario ORIGINAL, sin recalcular por pagos reales.</t>
      </text>
    </comment>
    <comment authorId="0" ref="G581">
      <text>
        <t xml:space="preserve">Tasa efectiva del mes según la base ingresada.</t>
      </text>
    </comment>
    <comment authorId="0" ref="H581">
      <text>
        <t xml:space="preserve">Interés del período = capital inicial × tasa mensual, redondeado a dos decimales.</t>
      </text>
    </comment>
    <comment authorId="0" ref="I581">
      <text>
        <t xml:space="preserve">Capital e interés pactados. La última cuota ajusta el saldo por redondeo.</t>
      </text>
    </comment>
    <comment authorId="0" ref="J581">
      <text>
        <t xml:space="preserve">Capital amortizado TEÓRICO = cuota base − interés, limitado al saldo.</t>
      </text>
    </comment>
    <comment authorId="0" ref="K581">
      <text>
        <t xml:space="preserve">Seguro y otros cargos fijos del mes.</t>
      </text>
    </comment>
    <comment authorId="0" ref="L581">
      <text>
        <t xml:space="preserve">Cuota base + cargos.</t>
      </text>
    </comment>
    <comment authorId="0" ref="M581">
      <text>
        <t xml:space="preserve">Capital final del calendario teórico. No equivale al saldo real si hay pagos parciales o atrasos.</t>
      </text>
    </comment>
    <comment authorId="0" ref="N581">
      <text>
        <t xml:space="preserve">Suma de pagos válidos del mismo ID y cuota con fecha igual o anterior al corte.</t>
      </text>
    </comment>
    <comment authorId="0" ref="O581">
      <text>
        <t xml:space="preserve">MIN(amortización pactada; MAX(0; pagado − cargos − interés)). No imputa excedentes a otras cuotas.</t>
      </text>
    </comment>
    <comment authorId="0" ref="P581">
      <text>
        <t xml:space="preserve">MAX(0; total pactado − pagado a esta cuota). Incluye capital, interés y cargos pendientes de ESA cuota.</t>
      </text>
    </comment>
    <comment authorId="0" ref="Q581">
      <text>
        <t xml:space="preserve">Días desde vencimiento hasta corte, solo si venció antes del corte y sigue con saldo.</t>
      </text>
    </comment>
    <comment authorId="0" ref="R581">
      <text>
        <t xml:space="preserve">MAX(0; pagado − cuota pactada). Exceso para revisar: no se traspasa a otra cuota.</t>
      </text>
    </comment>
    <comment authorId="0" ref="C53">
      <text>
        <t xml:space="preserve">Crédito al que corresponde esta cuota.</t>
      </text>
    </comment>
    <comment authorId="0" ref="S581">
      <text>
        <t xml:space="preserve">Pagada, Vencida, Vence hoy, Por vencer o Exceso sin imputar según fecha y saldo al corte.</t>
      </text>
    </comment>
    <comment authorId="0" ref="D53">
      <text>
        <t xml:space="preserve">Número de cuota dentro del crédito.</t>
      </text>
    </comment>
    <comment authorId="0" ref="T581">
      <text>
        <t xml:space="preserve">Auxiliar para encontrar la primera cuota pendiente. El 999999 indica que esta cuota no tiene saldo pendiente o está fuera del plazo, y no es una fecha real.</t>
      </text>
    </comment>
    <comment authorId="0" ref="E53">
      <text>
        <t xml:space="preserve">Fecha según EDATE a partir del primer vencimiento. No ajusta automáticamente feriados.</t>
      </text>
    </comment>
    <comment authorId="0" ref="F53">
      <text>
        <t xml:space="preserve">Capital al inicio del período en el calendario ORIGINAL, sin recalcular por pagos reales.</t>
      </text>
    </comment>
    <comment authorId="0" ref="G53">
      <text>
        <t xml:space="preserve">Tasa efectiva del mes según la base ingresada.</t>
      </text>
    </comment>
    <comment authorId="0" ref="H53">
      <text>
        <t xml:space="preserve">Interés del período = capital inicial × tasa mensual, redondeado a dos decimales.</t>
      </text>
    </comment>
    <comment authorId="0" ref="I53">
      <text>
        <t xml:space="preserve">Capital e interés pactados. La última cuota ajusta el saldo por redondeo.</t>
      </text>
    </comment>
    <comment authorId="0" ref="J53">
      <text>
        <t xml:space="preserve">Capital amortizado TEÓRICO = cuota base − interés, limitado al saldo.</t>
      </text>
    </comment>
    <comment authorId="0" ref="K53">
      <text>
        <t xml:space="preserve">Seguro y otros cargos fijos del mes.</t>
      </text>
    </comment>
    <comment authorId="0" ref="L53">
      <text>
        <t xml:space="preserve">Cuota base + cargos.</t>
      </text>
    </comment>
    <comment authorId="0" ref="M53">
      <text>
        <t xml:space="preserve">Capital final del calendario teórico. No equivale al saldo real si hay pagos parciales o atrasos.</t>
      </text>
    </comment>
    <comment authorId="0" ref="N53">
      <text>
        <t xml:space="preserve">Suma de pagos válidos del mismo ID y cuota con fecha igual o anterior al corte.</t>
      </text>
    </comment>
    <comment authorId="0" ref="O53">
      <text>
        <t xml:space="preserve">MIN(amortización pactada; MAX(0; pagado − cargos − interés)). No imputa excedentes a otras cuotas.</t>
      </text>
    </comment>
    <comment authorId="0" ref="P53">
      <text>
        <t xml:space="preserve">MAX(0; total pactado − pagado a esta cuota). Incluye capital, interés y cargos pendientes de ESA cuota.</t>
      </text>
    </comment>
    <comment authorId="0" ref="Q53">
      <text>
        <t xml:space="preserve">Días desde vencimiento hasta corte, solo si venció antes del corte y sigue con saldo.</t>
      </text>
    </comment>
    <comment authorId="0" ref="R53">
      <text>
        <t xml:space="preserve">MAX(0; pagado − cuota pactada). Exceso para revisar: no se traspasa a otra cuota.</t>
      </text>
    </comment>
    <comment authorId="0" ref="C582">
      <text>
        <t xml:space="preserve">Crédito al que corresponde esta cuota.</t>
      </text>
    </comment>
    <comment authorId="0" ref="S53">
      <text>
        <t xml:space="preserve">Pagada, Vencida, Vence hoy, Por vencer o Exceso sin imputar según fecha y saldo al corte.</t>
      </text>
    </comment>
    <comment authorId="0" ref="D582">
      <text>
        <t xml:space="preserve">Número de cuota dentro del crédito.</t>
      </text>
    </comment>
    <comment authorId="0" ref="T53">
      <text>
        <t xml:space="preserve">Auxiliar para encontrar la primera cuota pendiente. El 999999 indica que esta cuota no tiene saldo pendiente o está fuera del plazo, y no es una fecha real.</t>
      </text>
    </comment>
    <comment authorId="0" ref="E582">
      <text>
        <t xml:space="preserve">Fecha según EDATE a partir del primer vencimiento. No ajusta automáticamente feriados.</t>
      </text>
    </comment>
    <comment authorId="0" ref="F582">
      <text>
        <t xml:space="preserve">Capital al inicio del período en el calendario ORIGINAL, sin recalcular por pagos reales.</t>
      </text>
    </comment>
    <comment authorId="0" ref="G582">
      <text>
        <t xml:space="preserve">Tasa efectiva del mes según la base ingresada.</t>
      </text>
    </comment>
    <comment authorId="0" ref="H582">
      <text>
        <t xml:space="preserve">Interés del período = capital inicial × tasa mensual, redondeado a dos decimales.</t>
      </text>
    </comment>
    <comment authorId="0" ref="I582">
      <text>
        <t xml:space="preserve">Capital e interés pactados. La última cuota ajusta el saldo por redondeo.</t>
      </text>
    </comment>
    <comment authorId="0" ref="J582">
      <text>
        <t xml:space="preserve">Capital amortizado TEÓRICO = cuota base − interés, limitado al saldo.</t>
      </text>
    </comment>
    <comment authorId="0" ref="K582">
      <text>
        <t xml:space="preserve">Seguro y otros cargos fijos del mes.</t>
      </text>
    </comment>
    <comment authorId="0" ref="L582">
      <text>
        <t xml:space="preserve">Cuota base + cargos.</t>
      </text>
    </comment>
    <comment authorId="0" ref="M582">
      <text>
        <t xml:space="preserve">Capital final del calendario teórico. No equivale al saldo real si hay pagos parciales o atrasos.</t>
      </text>
    </comment>
    <comment authorId="0" ref="N582">
      <text>
        <t xml:space="preserve">Suma de pagos válidos del mismo ID y cuota con fecha igual o anterior al corte.</t>
      </text>
    </comment>
    <comment authorId="0" ref="O582">
      <text>
        <t xml:space="preserve">MIN(amortización pactada; MAX(0; pagado − cargos − interés)). No imputa excedentes a otras cuotas.</t>
      </text>
    </comment>
    <comment authorId="0" ref="P582">
      <text>
        <t xml:space="preserve">MAX(0; total pactado − pagado a esta cuota). Incluye capital, interés y cargos pendientes de ESA cuota.</t>
      </text>
    </comment>
    <comment authorId="0" ref="Q582">
      <text>
        <t xml:space="preserve">Días desde vencimiento hasta corte, solo si venció antes del corte y sigue con saldo.</t>
      </text>
    </comment>
    <comment authorId="0" ref="R582">
      <text>
        <t xml:space="preserve">MAX(0; pagado − cuota pactada). Exceso para revisar: no se traspasa a otra cuota.</t>
      </text>
    </comment>
    <comment authorId="0" ref="C54">
      <text>
        <t xml:space="preserve">Crédito al que corresponde esta cuota.</t>
      </text>
    </comment>
    <comment authorId="0" ref="S582">
      <text>
        <t xml:space="preserve">Pagada, Vencida, Vence hoy, Por vencer o Exceso sin imputar según fecha y saldo al corte.</t>
      </text>
    </comment>
    <comment authorId="0" ref="D54">
      <text>
        <t xml:space="preserve">Número de cuota dentro del crédito.</t>
      </text>
    </comment>
    <comment authorId="0" ref="T582">
      <text>
        <t xml:space="preserve">Auxiliar para encontrar la primera cuota pendiente. El 999999 indica que esta cuota no tiene saldo pendiente o está fuera del plazo, y no es una fecha real.</t>
      </text>
    </comment>
    <comment authorId="0" ref="E54">
      <text>
        <t xml:space="preserve">Fecha según EDATE a partir del primer vencimiento. No ajusta automáticamente feriados.</t>
      </text>
    </comment>
    <comment authorId="0" ref="F54">
      <text>
        <t xml:space="preserve">Capital al inicio del período en el calendario ORIGINAL, sin recalcular por pagos reales.</t>
      </text>
    </comment>
    <comment authorId="0" ref="G54">
      <text>
        <t xml:space="preserve">Tasa efectiva del mes según la base ingresada.</t>
      </text>
    </comment>
    <comment authorId="0" ref="H54">
      <text>
        <t xml:space="preserve">Interés del período = capital inicial × tasa mensual, redondeado a dos decimales.</t>
      </text>
    </comment>
    <comment authorId="0" ref="I54">
      <text>
        <t xml:space="preserve">Capital e interés pactados. La última cuota ajusta el saldo por redondeo.</t>
      </text>
    </comment>
    <comment authorId="0" ref="J54">
      <text>
        <t xml:space="preserve">Capital amortizado TEÓRICO = cuota base − interés, limitado al saldo.</t>
      </text>
    </comment>
    <comment authorId="0" ref="K54">
      <text>
        <t xml:space="preserve">Seguro y otros cargos fijos del mes.</t>
      </text>
    </comment>
    <comment authorId="0" ref="L54">
      <text>
        <t xml:space="preserve">Cuota base + cargos.</t>
      </text>
    </comment>
    <comment authorId="0" ref="M54">
      <text>
        <t xml:space="preserve">Capital final del calendario teórico. No equivale al saldo real si hay pagos parciales o atrasos.</t>
      </text>
    </comment>
    <comment authorId="0" ref="N54">
      <text>
        <t xml:space="preserve">Suma de pagos válidos del mismo ID y cuota con fecha igual o anterior al corte.</t>
      </text>
    </comment>
    <comment authorId="0" ref="O54">
      <text>
        <t xml:space="preserve">MIN(amortización pactada; MAX(0; pagado − cargos − interés)). No imputa excedentes a otras cuotas.</t>
      </text>
    </comment>
    <comment authorId="0" ref="P54">
      <text>
        <t xml:space="preserve">MAX(0; total pactado − pagado a esta cuota). Incluye capital, interés y cargos pendientes de ESA cuota.</t>
      </text>
    </comment>
    <comment authorId="0" ref="Q54">
      <text>
        <t xml:space="preserve">Días desde vencimiento hasta corte, solo si venció antes del corte y sigue con saldo.</t>
      </text>
    </comment>
    <comment authorId="0" ref="R54">
      <text>
        <t xml:space="preserve">MAX(0; pagado − cuota pactada). Exceso para revisar: no se traspasa a otra cuota.</t>
      </text>
    </comment>
    <comment authorId="0" ref="C583">
      <text>
        <t xml:space="preserve">Crédito al que corresponde esta cuota.</t>
      </text>
    </comment>
    <comment authorId="0" ref="S54">
      <text>
        <t xml:space="preserve">Pagada, Vencida, Vence hoy, Por vencer o Exceso sin imputar según fecha y saldo al corte.</t>
      </text>
    </comment>
    <comment authorId="0" ref="D583">
      <text>
        <t xml:space="preserve">Número de cuota dentro del crédito.</t>
      </text>
    </comment>
    <comment authorId="0" ref="T54">
      <text>
        <t xml:space="preserve">Auxiliar para encontrar la primera cuota pendiente. El 999999 indica que esta cuota no tiene saldo pendiente o está fuera del plazo, y no es una fecha real.</t>
      </text>
    </comment>
    <comment authorId="0" ref="E583">
      <text>
        <t xml:space="preserve">Fecha según EDATE a partir del primer vencimiento. No ajusta automáticamente feriados.</t>
      </text>
    </comment>
    <comment authorId="0" ref="F583">
      <text>
        <t xml:space="preserve">Capital al inicio del período en el calendario ORIGINAL, sin recalcular por pagos reales.</t>
      </text>
    </comment>
    <comment authorId="0" ref="G583">
      <text>
        <t xml:space="preserve">Tasa efectiva del mes según la base ingresada.</t>
      </text>
    </comment>
    <comment authorId="0" ref="H583">
      <text>
        <t xml:space="preserve">Interés del período = capital inicial × tasa mensual, redondeado a dos decimales.</t>
      </text>
    </comment>
    <comment authorId="0" ref="I583">
      <text>
        <t xml:space="preserve">Capital e interés pactados. La última cuota ajusta el saldo por redondeo.</t>
      </text>
    </comment>
    <comment authorId="0" ref="J583">
      <text>
        <t xml:space="preserve">Capital amortizado TEÓRICO = cuota base − interés, limitado al saldo.</t>
      </text>
    </comment>
    <comment authorId="0" ref="K583">
      <text>
        <t xml:space="preserve">Seguro y otros cargos fijos del mes.</t>
      </text>
    </comment>
    <comment authorId="0" ref="L583">
      <text>
        <t xml:space="preserve">Cuota base + cargos.</t>
      </text>
    </comment>
    <comment authorId="0" ref="M583">
      <text>
        <t xml:space="preserve">Capital final del calendario teórico. No equivale al saldo real si hay pagos parciales o atrasos.</t>
      </text>
    </comment>
    <comment authorId="0" ref="N583">
      <text>
        <t xml:space="preserve">Suma de pagos válidos del mismo ID y cuota con fecha igual o anterior al corte.</t>
      </text>
    </comment>
    <comment authorId="0" ref="O583">
      <text>
        <t xml:space="preserve">MIN(amortización pactada; MAX(0; pagado − cargos − interés)). No imputa excedentes a otras cuotas.</t>
      </text>
    </comment>
    <comment authorId="0" ref="P583">
      <text>
        <t xml:space="preserve">MAX(0; total pactado − pagado a esta cuota). Incluye capital, interés y cargos pendientes de ESA cuota.</t>
      </text>
    </comment>
    <comment authorId="0" ref="Q583">
      <text>
        <t xml:space="preserve">Días desde vencimiento hasta corte, solo si venció antes del corte y sigue con saldo.</t>
      </text>
    </comment>
    <comment authorId="0" ref="R583">
      <text>
        <t xml:space="preserve">MAX(0; pagado − cuota pactada). Exceso para revisar: no se traspasa a otra cuota.</t>
      </text>
    </comment>
    <comment authorId="0" ref="C55">
      <text>
        <t xml:space="preserve">Crédito al que corresponde esta cuota.</t>
      </text>
    </comment>
    <comment authorId="0" ref="S583">
      <text>
        <t xml:space="preserve">Pagada, Vencida, Vence hoy, Por vencer o Exceso sin imputar según fecha y saldo al corte.</t>
      </text>
    </comment>
    <comment authorId="0" ref="D55">
      <text>
        <t xml:space="preserve">Número de cuota dentro del crédito.</t>
      </text>
    </comment>
    <comment authorId="0" ref="T583">
      <text>
        <t xml:space="preserve">Auxiliar para encontrar la primera cuota pendiente. El 999999 indica que esta cuota no tiene saldo pendiente o está fuera del plazo, y no es una fecha real.</t>
      </text>
    </comment>
    <comment authorId="0" ref="E55">
      <text>
        <t xml:space="preserve">Fecha según EDATE a partir del primer vencimiento. No ajusta automáticamente feriados.</t>
      </text>
    </comment>
    <comment authorId="0" ref="F55">
      <text>
        <t xml:space="preserve">Capital al inicio del período en el calendario ORIGINAL, sin recalcular por pagos reales.</t>
      </text>
    </comment>
    <comment authorId="0" ref="G55">
      <text>
        <t xml:space="preserve">Tasa efectiva del mes según la base ingresada.</t>
      </text>
    </comment>
    <comment authorId="0" ref="H55">
      <text>
        <t xml:space="preserve">Interés del período = capital inicial × tasa mensual, redondeado a dos decimales.</t>
      </text>
    </comment>
    <comment authorId="0" ref="I55">
      <text>
        <t xml:space="preserve">Capital e interés pactados. La última cuota ajusta el saldo por redondeo.</t>
      </text>
    </comment>
    <comment authorId="0" ref="J55">
      <text>
        <t xml:space="preserve">Capital amortizado TEÓRICO = cuota base − interés, limitado al saldo.</t>
      </text>
    </comment>
    <comment authorId="0" ref="K55">
      <text>
        <t xml:space="preserve">Seguro y otros cargos fijos del mes.</t>
      </text>
    </comment>
    <comment authorId="0" ref="L55">
      <text>
        <t xml:space="preserve">Cuota base + cargos.</t>
      </text>
    </comment>
    <comment authorId="0" ref="M55">
      <text>
        <t xml:space="preserve">Capital final del calendario teórico. No equivale al saldo real si hay pagos parciales o atrasos.</t>
      </text>
    </comment>
    <comment authorId="0" ref="N55">
      <text>
        <t xml:space="preserve">Suma de pagos válidos del mismo ID y cuota con fecha igual o anterior al corte.</t>
      </text>
    </comment>
    <comment authorId="0" ref="O55">
      <text>
        <t xml:space="preserve">MIN(amortización pactada; MAX(0; pagado − cargos − interés)). No imputa excedentes a otras cuotas.</t>
      </text>
    </comment>
    <comment authorId="0" ref="P55">
      <text>
        <t xml:space="preserve">MAX(0; total pactado − pagado a esta cuota). Incluye capital, interés y cargos pendientes de ESA cuota.</t>
      </text>
    </comment>
    <comment authorId="0" ref="Q55">
      <text>
        <t xml:space="preserve">Días desde vencimiento hasta corte, solo si venció antes del corte y sigue con saldo.</t>
      </text>
    </comment>
    <comment authorId="0" ref="R55">
      <text>
        <t xml:space="preserve">MAX(0; pagado − cuota pactada). Exceso para revisar: no se traspasa a otra cuota.</t>
      </text>
    </comment>
    <comment authorId="0" ref="C584">
      <text>
        <t xml:space="preserve">Crédito al que corresponde esta cuota.</t>
      </text>
    </comment>
    <comment authorId="0" ref="S55">
      <text>
        <t xml:space="preserve">Pagada, Vencida, Vence hoy, Por vencer o Exceso sin imputar según fecha y saldo al corte.</t>
      </text>
    </comment>
    <comment authorId="0" ref="D584">
      <text>
        <t xml:space="preserve">Número de cuota dentro del crédito.</t>
      </text>
    </comment>
    <comment authorId="0" ref="T55">
      <text>
        <t xml:space="preserve">Auxiliar para encontrar la primera cuota pendiente. El 999999 indica que esta cuota no tiene saldo pendiente o está fuera del plazo, y no es una fecha real.</t>
      </text>
    </comment>
    <comment authorId="0" ref="E584">
      <text>
        <t xml:space="preserve">Fecha según EDATE a partir del primer vencimiento. No ajusta automáticamente feriados.</t>
      </text>
    </comment>
    <comment authorId="0" ref="F584">
      <text>
        <t xml:space="preserve">Capital al inicio del período en el calendario ORIGINAL, sin recalcular por pagos reales.</t>
      </text>
    </comment>
    <comment authorId="0" ref="G584">
      <text>
        <t xml:space="preserve">Tasa efectiva del mes según la base ingresada.</t>
      </text>
    </comment>
    <comment authorId="0" ref="H584">
      <text>
        <t xml:space="preserve">Interés del período = capital inicial × tasa mensual, redondeado a dos decimales.</t>
      </text>
    </comment>
    <comment authorId="0" ref="I584">
      <text>
        <t xml:space="preserve">Capital e interés pactados. La última cuota ajusta el saldo por redondeo.</t>
      </text>
    </comment>
    <comment authorId="0" ref="J584">
      <text>
        <t xml:space="preserve">Capital amortizado TEÓRICO = cuota base − interés, limitado al saldo.</t>
      </text>
    </comment>
    <comment authorId="0" ref="K584">
      <text>
        <t xml:space="preserve">Seguro y otros cargos fijos del mes.</t>
      </text>
    </comment>
    <comment authorId="0" ref="L584">
      <text>
        <t xml:space="preserve">Cuota base + cargos.</t>
      </text>
    </comment>
    <comment authorId="0" ref="M584">
      <text>
        <t xml:space="preserve">Capital final del calendario teórico. No equivale al saldo real si hay pagos parciales o atrasos.</t>
      </text>
    </comment>
    <comment authorId="0" ref="N584">
      <text>
        <t xml:space="preserve">Suma de pagos válidos del mismo ID y cuota con fecha igual o anterior al corte.</t>
      </text>
    </comment>
    <comment authorId="0" ref="O584">
      <text>
        <t xml:space="preserve">MIN(amortización pactada; MAX(0; pagado − cargos − interés)). No imputa excedentes a otras cuotas.</t>
      </text>
    </comment>
    <comment authorId="0" ref="P584">
      <text>
        <t xml:space="preserve">MAX(0; total pactado − pagado a esta cuota). Incluye capital, interés y cargos pendientes de ESA cuota.</t>
      </text>
    </comment>
    <comment authorId="0" ref="Q584">
      <text>
        <t xml:space="preserve">Días desde vencimiento hasta corte, solo si venció antes del corte y sigue con saldo.</t>
      </text>
    </comment>
    <comment authorId="0" ref="R584">
      <text>
        <t xml:space="preserve">MAX(0; pagado − cuota pactada). Exceso para revisar: no se traspasa a otra cuota.</t>
      </text>
    </comment>
    <comment authorId="0" ref="C56">
      <text>
        <t xml:space="preserve">Crédito al que corresponde esta cuota.</t>
      </text>
    </comment>
    <comment authorId="0" ref="S584">
      <text>
        <t xml:space="preserve">Pagada, Vencida, Vence hoy, Por vencer o Exceso sin imputar según fecha y saldo al corte.</t>
      </text>
    </comment>
    <comment authorId="0" ref="D56">
      <text>
        <t xml:space="preserve">Número de cuota dentro del crédito.</t>
      </text>
    </comment>
    <comment authorId="0" ref="T584">
      <text>
        <t xml:space="preserve">Auxiliar para encontrar la primera cuota pendiente. El 999999 indica que esta cuota no tiene saldo pendiente o está fuera del plazo, y no es una fecha real.</t>
      </text>
    </comment>
    <comment authorId="0" ref="E56">
      <text>
        <t xml:space="preserve">Fecha según EDATE a partir del primer vencimiento. No ajusta automáticamente feriados.</t>
      </text>
    </comment>
    <comment authorId="0" ref="F56">
      <text>
        <t xml:space="preserve">Capital al inicio del período en el calendario ORIGINAL, sin recalcular por pagos reales.</t>
      </text>
    </comment>
    <comment authorId="0" ref="G56">
      <text>
        <t xml:space="preserve">Tasa efectiva del mes según la base ingresada.</t>
      </text>
    </comment>
    <comment authorId="0" ref="H56">
      <text>
        <t xml:space="preserve">Interés del período = capital inicial × tasa mensual, redondeado a dos decimales.</t>
      </text>
    </comment>
    <comment authorId="0" ref="I56">
      <text>
        <t xml:space="preserve">Capital e interés pactados. La última cuota ajusta el saldo por redondeo.</t>
      </text>
    </comment>
    <comment authorId="0" ref="J56">
      <text>
        <t xml:space="preserve">Capital amortizado TEÓRICO = cuota base − interés, limitado al saldo.</t>
      </text>
    </comment>
    <comment authorId="0" ref="K56">
      <text>
        <t xml:space="preserve">Seguro y otros cargos fijos del mes.</t>
      </text>
    </comment>
    <comment authorId="0" ref="L56">
      <text>
        <t xml:space="preserve">Cuota base + cargos.</t>
      </text>
    </comment>
    <comment authorId="0" ref="M56">
      <text>
        <t xml:space="preserve">Capital final del calendario teórico. No equivale al saldo real si hay pagos parciales o atrasos.</t>
      </text>
    </comment>
    <comment authorId="0" ref="N56">
      <text>
        <t xml:space="preserve">Suma de pagos válidos del mismo ID y cuota con fecha igual o anterior al corte.</t>
      </text>
    </comment>
    <comment authorId="0" ref="O56">
      <text>
        <t xml:space="preserve">MIN(amortización pactada; MAX(0; pagado − cargos − interés)). No imputa excedentes a otras cuotas.</t>
      </text>
    </comment>
    <comment authorId="0" ref="P56">
      <text>
        <t xml:space="preserve">MAX(0; total pactado − pagado a esta cuota). Incluye capital, interés y cargos pendientes de ESA cuota.</t>
      </text>
    </comment>
    <comment authorId="0" ref="Q56">
      <text>
        <t xml:space="preserve">Días desde vencimiento hasta corte, solo si venció antes del corte y sigue con saldo.</t>
      </text>
    </comment>
    <comment authorId="0" ref="R56">
      <text>
        <t xml:space="preserve">MAX(0; pagado − cuota pactada). Exceso para revisar: no se traspasa a otra cuota.</t>
      </text>
    </comment>
    <comment authorId="0" ref="C585">
      <text>
        <t xml:space="preserve">Crédito al que corresponde esta cuota.</t>
      </text>
    </comment>
    <comment authorId="0" ref="S56">
      <text>
        <t xml:space="preserve">Pagada, Vencida, Vence hoy, Por vencer o Exceso sin imputar según fecha y saldo al corte.</t>
      </text>
    </comment>
    <comment authorId="0" ref="D585">
      <text>
        <t xml:space="preserve">Número de cuota dentro del crédito.</t>
      </text>
    </comment>
    <comment authorId="0" ref="T56">
      <text>
        <t xml:space="preserve">Auxiliar para encontrar la primera cuota pendiente. El 999999 indica que esta cuota no tiene saldo pendiente o está fuera del plazo, y no es una fecha real.</t>
      </text>
    </comment>
    <comment authorId="0" ref="E585">
      <text>
        <t xml:space="preserve">Fecha según EDATE a partir del primer vencimiento. No ajusta automáticamente feriados.</t>
      </text>
    </comment>
    <comment authorId="0" ref="F585">
      <text>
        <t xml:space="preserve">Capital al inicio del período en el calendario ORIGINAL, sin recalcular por pagos reales.</t>
      </text>
    </comment>
    <comment authorId="0" ref="G585">
      <text>
        <t xml:space="preserve">Tasa efectiva del mes según la base ingresada.</t>
      </text>
    </comment>
    <comment authorId="0" ref="H585">
      <text>
        <t xml:space="preserve">Interés del período = capital inicial × tasa mensual, redondeado a dos decimales.</t>
      </text>
    </comment>
    <comment authorId="0" ref="I585">
      <text>
        <t xml:space="preserve">Capital e interés pactados. La última cuota ajusta el saldo por redondeo.</t>
      </text>
    </comment>
    <comment authorId="0" ref="J585">
      <text>
        <t xml:space="preserve">Capital amortizado TEÓRICO = cuota base − interés, limitado al saldo.</t>
      </text>
    </comment>
    <comment authorId="0" ref="K585">
      <text>
        <t xml:space="preserve">Seguro y otros cargos fijos del mes.</t>
      </text>
    </comment>
    <comment authorId="0" ref="L585">
      <text>
        <t xml:space="preserve">Cuota base + cargos.</t>
      </text>
    </comment>
    <comment authorId="0" ref="M585">
      <text>
        <t xml:space="preserve">Capital final del calendario teórico. No equivale al saldo real si hay pagos parciales o atrasos.</t>
      </text>
    </comment>
    <comment authorId="0" ref="N585">
      <text>
        <t xml:space="preserve">Suma de pagos válidos del mismo ID y cuota con fecha igual o anterior al corte.</t>
      </text>
    </comment>
    <comment authorId="0" ref="O585">
      <text>
        <t xml:space="preserve">MIN(amortización pactada; MAX(0; pagado − cargos − interés)). No imputa excedentes a otras cuotas.</t>
      </text>
    </comment>
    <comment authorId="0" ref="P585">
      <text>
        <t xml:space="preserve">MAX(0; total pactado − pagado a esta cuota). Incluye capital, interés y cargos pendientes de ESA cuota.</t>
      </text>
    </comment>
    <comment authorId="0" ref="Q585">
      <text>
        <t xml:space="preserve">Días desde vencimiento hasta corte, solo si venció antes del corte y sigue con saldo.</t>
      </text>
    </comment>
    <comment authorId="0" ref="R585">
      <text>
        <t xml:space="preserve">MAX(0; pagado − cuota pactada). Exceso para revisar: no se traspasa a otra cuota.</t>
      </text>
    </comment>
    <comment authorId="0" ref="C57">
      <text>
        <t xml:space="preserve">Crédito al que corresponde esta cuota.</t>
      </text>
    </comment>
    <comment authorId="0" ref="S585">
      <text>
        <t xml:space="preserve">Pagada, Vencida, Vence hoy, Por vencer o Exceso sin imputar según fecha y saldo al corte.</t>
      </text>
    </comment>
    <comment authorId="0" ref="D57">
      <text>
        <t xml:space="preserve">Número de cuota dentro del crédito.</t>
      </text>
    </comment>
    <comment authorId="0" ref="T585">
      <text>
        <t xml:space="preserve">Auxiliar para encontrar la primera cuota pendiente. El 999999 indica que esta cuota no tiene saldo pendiente o está fuera del plazo, y no es una fecha real.</t>
      </text>
    </comment>
    <comment authorId="0" ref="E57">
      <text>
        <t xml:space="preserve">Fecha según EDATE a partir del primer vencimiento. No ajusta automáticamente feriados.</t>
      </text>
    </comment>
    <comment authorId="0" ref="F57">
      <text>
        <t xml:space="preserve">Capital al inicio del período en el calendario ORIGINAL, sin recalcular por pagos reales.</t>
      </text>
    </comment>
    <comment authorId="0" ref="G57">
      <text>
        <t xml:space="preserve">Tasa efectiva del mes según la base ingresada.</t>
      </text>
    </comment>
    <comment authorId="0" ref="H57">
      <text>
        <t xml:space="preserve">Interés del período = capital inicial × tasa mensual, redondeado a dos decimales.</t>
      </text>
    </comment>
    <comment authorId="0" ref="I57">
      <text>
        <t xml:space="preserve">Capital e interés pactados. La última cuota ajusta el saldo por redondeo.</t>
      </text>
    </comment>
    <comment authorId="0" ref="J57">
      <text>
        <t xml:space="preserve">Capital amortizado TEÓRICO = cuota base − interés, limitado al saldo.</t>
      </text>
    </comment>
    <comment authorId="0" ref="K57">
      <text>
        <t xml:space="preserve">Seguro y otros cargos fijos del mes.</t>
      </text>
    </comment>
    <comment authorId="0" ref="L57">
      <text>
        <t xml:space="preserve">Cuota base + cargos.</t>
      </text>
    </comment>
    <comment authorId="0" ref="M57">
      <text>
        <t xml:space="preserve">Capital final del calendario teórico. No equivale al saldo real si hay pagos parciales o atrasos.</t>
      </text>
    </comment>
    <comment authorId="0" ref="N57">
      <text>
        <t xml:space="preserve">Suma de pagos válidos del mismo ID y cuota con fecha igual o anterior al corte.</t>
      </text>
    </comment>
    <comment authorId="0" ref="O57">
      <text>
        <t xml:space="preserve">MIN(amortización pactada; MAX(0; pagado − cargos − interés)). No imputa excedentes a otras cuotas.</t>
      </text>
    </comment>
    <comment authorId="0" ref="P57">
      <text>
        <t xml:space="preserve">MAX(0; total pactado − pagado a esta cuota). Incluye capital, interés y cargos pendientes de ESA cuota.</t>
      </text>
    </comment>
    <comment authorId="0" ref="Q57">
      <text>
        <t xml:space="preserve">Días desde vencimiento hasta corte, solo si venció antes del corte y sigue con saldo.</t>
      </text>
    </comment>
    <comment authorId="0" ref="R57">
      <text>
        <t xml:space="preserve">MAX(0; pagado − cuota pactada). Exceso para revisar: no se traspasa a otra cuota.</t>
      </text>
    </comment>
    <comment authorId="0" ref="C586">
      <text>
        <t xml:space="preserve">Crédito al que corresponde esta cuota.</t>
      </text>
    </comment>
    <comment authorId="0" ref="S57">
      <text>
        <t xml:space="preserve">Pagada, Vencida, Vence hoy, Por vencer o Exceso sin imputar según fecha y saldo al corte.</t>
      </text>
    </comment>
    <comment authorId="0" ref="D586">
      <text>
        <t xml:space="preserve">Número de cuota dentro del crédito.</t>
      </text>
    </comment>
    <comment authorId="0" ref="T57">
      <text>
        <t xml:space="preserve">Auxiliar para encontrar la primera cuota pendiente. El 999999 indica que esta cuota no tiene saldo pendiente o está fuera del plazo, y no es una fecha real.</t>
      </text>
    </comment>
    <comment authorId="0" ref="E586">
      <text>
        <t xml:space="preserve">Fecha según EDATE a partir del primer vencimiento. No ajusta automáticamente feriados.</t>
      </text>
    </comment>
    <comment authorId="0" ref="F586">
      <text>
        <t xml:space="preserve">Capital al inicio del período en el calendario ORIGINAL, sin recalcular por pagos reales.</t>
      </text>
    </comment>
    <comment authorId="0" ref="G586">
      <text>
        <t xml:space="preserve">Tasa efectiva del mes según la base ingresada.</t>
      </text>
    </comment>
    <comment authorId="0" ref="H586">
      <text>
        <t xml:space="preserve">Interés del período = capital inicial × tasa mensual, redondeado a dos decimales.</t>
      </text>
    </comment>
    <comment authorId="0" ref="I586">
      <text>
        <t xml:space="preserve">Capital e interés pactados. La última cuota ajusta el saldo por redondeo.</t>
      </text>
    </comment>
    <comment authorId="0" ref="J586">
      <text>
        <t xml:space="preserve">Capital amortizado TEÓRICO = cuota base − interés, limitado al saldo.</t>
      </text>
    </comment>
    <comment authorId="0" ref="K586">
      <text>
        <t xml:space="preserve">Seguro y otros cargos fijos del mes.</t>
      </text>
    </comment>
    <comment authorId="0" ref="L586">
      <text>
        <t xml:space="preserve">Cuota base + cargos.</t>
      </text>
    </comment>
    <comment authorId="0" ref="M586">
      <text>
        <t xml:space="preserve">Capital final del calendario teórico. No equivale al saldo real si hay pagos parciales o atrasos.</t>
      </text>
    </comment>
    <comment authorId="0" ref="N586">
      <text>
        <t xml:space="preserve">Suma de pagos válidos del mismo ID y cuota con fecha igual o anterior al corte.</t>
      </text>
    </comment>
    <comment authorId="0" ref="O586">
      <text>
        <t xml:space="preserve">MIN(amortización pactada; MAX(0; pagado − cargos − interés)). No imputa excedentes a otras cuotas.</t>
      </text>
    </comment>
    <comment authorId="0" ref="P586">
      <text>
        <t xml:space="preserve">MAX(0; total pactado − pagado a esta cuota). Incluye capital, interés y cargos pendientes de ESA cuota.</t>
      </text>
    </comment>
    <comment authorId="0" ref="Q586">
      <text>
        <t xml:space="preserve">Días desde vencimiento hasta corte, solo si venció antes del corte y sigue con saldo.</t>
      </text>
    </comment>
    <comment authorId="0" ref="R586">
      <text>
        <t xml:space="preserve">MAX(0; pagado − cuota pactada). Exceso para revisar: no se traspasa a otra cuota.</t>
      </text>
    </comment>
    <comment authorId="0" ref="C58">
      <text>
        <t xml:space="preserve">Crédito al que corresponde esta cuota.</t>
      </text>
    </comment>
    <comment authorId="0" ref="S586">
      <text>
        <t xml:space="preserve">Pagada, Vencida, Vence hoy, Por vencer o Exceso sin imputar según fecha y saldo al corte.</t>
      </text>
    </comment>
    <comment authorId="0" ref="D58">
      <text>
        <t xml:space="preserve">Número de cuota dentro del crédito.</t>
      </text>
    </comment>
    <comment authorId="0" ref="T586">
      <text>
        <t xml:space="preserve">Auxiliar para encontrar la primera cuota pendiente. El 999999 indica que esta cuota no tiene saldo pendiente o está fuera del plazo, y no es una fecha real.</t>
      </text>
    </comment>
    <comment authorId="0" ref="E58">
      <text>
        <t xml:space="preserve">Fecha según EDATE a partir del primer vencimiento. No ajusta automáticamente feriados.</t>
      </text>
    </comment>
    <comment authorId="0" ref="F58">
      <text>
        <t xml:space="preserve">Capital al inicio del período en el calendario ORIGINAL, sin recalcular por pagos reales.</t>
      </text>
    </comment>
    <comment authorId="0" ref="G58">
      <text>
        <t xml:space="preserve">Tasa efectiva del mes según la base ingresada.</t>
      </text>
    </comment>
    <comment authorId="0" ref="H58">
      <text>
        <t xml:space="preserve">Interés del período = capital inicial × tasa mensual, redondeado a dos decimales.</t>
      </text>
    </comment>
    <comment authorId="0" ref="I58">
      <text>
        <t xml:space="preserve">Capital e interés pactados. La última cuota ajusta el saldo por redondeo.</t>
      </text>
    </comment>
    <comment authorId="0" ref="J58">
      <text>
        <t xml:space="preserve">Capital amortizado TEÓRICO = cuota base − interés, limitado al saldo.</t>
      </text>
    </comment>
    <comment authorId="0" ref="K58">
      <text>
        <t xml:space="preserve">Seguro y otros cargos fijos del mes.</t>
      </text>
    </comment>
    <comment authorId="0" ref="L58">
      <text>
        <t xml:space="preserve">Cuota base + cargos.</t>
      </text>
    </comment>
    <comment authorId="0" ref="M58">
      <text>
        <t xml:space="preserve">Capital final del calendario teórico. No equivale al saldo real si hay pagos parciales o atrasos.</t>
      </text>
    </comment>
    <comment authorId="0" ref="N58">
      <text>
        <t xml:space="preserve">Suma de pagos válidos del mismo ID y cuota con fecha igual o anterior al corte.</t>
      </text>
    </comment>
    <comment authorId="0" ref="O58">
      <text>
        <t xml:space="preserve">MIN(amortización pactada; MAX(0; pagado − cargos − interés)). No imputa excedentes a otras cuotas.</t>
      </text>
    </comment>
    <comment authorId="0" ref="P58">
      <text>
        <t xml:space="preserve">MAX(0; total pactado − pagado a esta cuota). Incluye capital, interés y cargos pendientes de ESA cuota.</t>
      </text>
    </comment>
    <comment authorId="0" ref="Q58">
      <text>
        <t xml:space="preserve">Días desde vencimiento hasta corte, solo si venció antes del corte y sigue con saldo.</t>
      </text>
    </comment>
    <comment authorId="0" ref="R58">
      <text>
        <t xml:space="preserve">MAX(0; pagado − cuota pactada). Exceso para revisar: no se traspasa a otra cuota.</t>
      </text>
    </comment>
    <comment authorId="0" ref="C587">
      <text>
        <t xml:space="preserve">Crédito al que corresponde esta cuota.</t>
      </text>
    </comment>
    <comment authorId="0" ref="S58">
      <text>
        <t xml:space="preserve">Pagada, Vencida, Vence hoy, Por vencer o Exceso sin imputar según fecha y saldo al corte.</t>
      </text>
    </comment>
    <comment authorId="0" ref="D587">
      <text>
        <t xml:space="preserve">Número de cuota dentro del crédito.</t>
      </text>
    </comment>
    <comment authorId="0" ref="T58">
      <text>
        <t xml:space="preserve">Auxiliar para encontrar la primera cuota pendiente. El 999999 indica que esta cuota no tiene saldo pendiente o está fuera del plazo, y no es una fecha real.</t>
      </text>
    </comment>
    <comment authorId="0" ref="E587">
      <text>
        <t xml:space="preserve">Fecha según EDATE a partir del primer vencimiento. No ajusta automáticamente feriados.</t>
      </text>
    </comment>
    <comment authorId="0" ref="F587">
      <text>
        <t xml:space="preserve">Capital al inicio del período en el calendario ORIGINAL, sin recalcular por pagos reales.</t>
      </text>
    </comment>
    <comment authorId="0" ref="G587">
      <text>
        <t xml:space="preserve">Tasa efectiva del mes según la base ingresada.</t>
      </text>
    </comment>
    <comment authorId="0" ref="H587">
      <text>
        <t xml:space="preserve">Interés del período = capital inicial × tasa mensual, redondeado a dos decimales.</t>
      </text>
    </comment>
    <comment authorId="0" ref="I587">
      <text>
        <t xml:space="preserve">Capital e interés pactados. La última cuota ajusta el saldo por redondeo.</t>
      </text>
    </comment>
    <comment authorId="0" ref="J587">
      <text>
        <t xml:space="preserve">Capital amortizado TEÓRICO = cuota base − interés, limitado al saldo.</t>
      </text>
    </comment>
    <comment authorId="0" ref="K587">
      <text>
        <t xml:space="preserve">Seguro y otros cargos fijos del mes.</t>
      </text>
    </comment>
    <comment authorId="0" ref="L587">
      <text>
        <t xml:space="preserve">Cuota base + cargos.</t>
      </text>
    </comment>
    <comment authorId="0" ref="M587">
      <text>
        <t xml:space="preserve">Capital final del calendario teórico. No equivale al saldo real si hay pagos parciales o atrasos.</t>
      </text>
    </comment>
    <comment authorId="0" ref="N587">
      <text>
        <t xml:space="preserve">Suma de pagos válidos del mismo ID y cuota con fecha igual o anterior al corte.</t>
      </text>
    </comment>
    <comment authorId="0" ref="O587">
      <text>
        <t xml:space="preserve">MIN(amortización pactada; MAX(0; pagado − cargos − interés)). No imputa excedentes a otras cuotas.</t>
      </text>
    </comment>
    <comment authorId="0" ref="P587">
      <text>
        <t xml:space="preserve">MAX(0; total pactado − pagado a esta cuota). Incluye capital, interés y cargos pendientes de ESA cuota.</t>
      </text>
    </comment>
    <comment authorId="0" ref="Q587">
      <text>
        <t xml:space="preserve">Días desde vencimiento hasta corte, solo si venció antes del corte y sigue con saldo.</t>
      </text>
    </comment>
    <comment authorId="0" ref="R587">
      <text>
        <t xml:space="preserve">MAX(0; pagado − cuota pactada). Exceso para revisar: no se traspasa a otra cuota.</t>
      </text>
    </comment>
    <comment authorId="0" ref="C59">
      <text>
        <t xml:space="preserve">Crédito al que corresponde esta cuota.</t>
      </text>
    </comment>
    <comment authorId="0" ref="S587">
      <text>
        <t xml:space="preserve">Pagada, Vencida, Vence hoy, Por vencer o Exceso sin imputar según fecha y saldo al corte.</t>
      </text>
    </comment>
    <comment authorId="0" ref="D59">
      <text>
        <t xml:space="preserve">Número de cuota dentro del crédito.</t>
      </text>
    </comment>
    <comment authorId="0" ref="T587">
      <text>
        <t xml:space="preserve">Auxiliar para encontrar la primera cuota pendiente. El 999999 indica que esta cuota no tiene saldo pendiente o está fuera del plazo, y no es una fecha real.</t>
      </text>
    </comment>
    <comment authorId="0" ref="E59">
      <text>
        <t xml:space="preserve">Fecha según EDATE a partir del primer vencimiento. No ajusta automáticamente feriados.</t>
      </text>
    </comment>
    <comment authorId="0" ref="F59">
      <text>
        <t xml:space="preserve">Capital al inicio del período en el calendario ORIGINAL, sin recalcular por pagos reales.</t>
      </text>
    </comment>
    <comment authorId="0" ref="G59">
      <text>
        <t xml:space="preserve">Tasa efectiva del mes según la base ingresada.</t>
      </text>
    </comment>
    <comment authorId="0" ref="H59">
      <text>
        <t xml:space="preserve">Interés del período = capital inicial × tasa mensual, redondeado a dos decimales.</t>
      </text>
    </comment>
    <comment authorId="0" ref="I59">
      <text>
        <t xml:space="preserve">Capital e interés pactados. La última cuota ajusta el saldo por redondeo.</t>
      </text>
    </comment>
    <comment authorId="0" ref="J59">
      <text>
        <t xml:space="preserve">Capital amortizado TEÓRICO = cuota base − interés, limitado al saldo.</t>
      </text>
    </comment>
    <comment authorId="0" ref="K59">
      <text>
        <t xml:space="preserve">Seguro y otros cargos fijos del mes.</t>
      </text>
    </comment>
    <comment authorId="0" ref="L59">
      <text>
        <t xml:space="preserve">Cuota base + cargos.</t>
      </text>
    </comment>
    <comment authorId="0" ref="M59">
      <text>
        <t xml:space="preserve">Capital final del calendario teórico. No equivale al saldo real si hay pagos parciales o atrasos.</t>
      </text>
    </comment>
    <comment authorId="0" ref="N59">
      <text>
        <t xml:space="preserve">Suma de pagos válidos del mismo ID y cuota con fecha igual o anterior al corte.</t>
      </text>
    </comment>
    <comment authorId="0" ref="O59">
      <text>
        <t xml:space="preserve">MIN(amortización pactada; MAX(0; pagado − cargos − interés)). No imputa excedentes a otras cuotas.</t>
      </text>
    </comment>
    <comment authorId="0" ref="P59">
      <text>
        <t xml:space="preserve">MAX(0; total pactado − pagado a esta cuota). Incluye capital, interés y cargos pendientes de ESA cuota.</t>
      </text>
    </comment>
    <comment authorId="0" ref="Q59">
      <text>
        <t xml:space="preserve">Días desde vencimiento hasta corte, solo si venció antes del corte y sigue con saldo.</t>
      </text>
    </comment>
    <comment authorId="0" ref="R59">
      <text>
        <t xml:space="preserve">MAX(0; pagado − cuota pactada). Exceso para revisar: no se traspasa a otra cuota.</t>
      </text>
    </comment>
    <comment authorId="0" ref="C588">
      <text>
        <t xml:space="preserve">Crédito al que corresponde esta cuota.</t>
      </text>
    </comment>
    <comment authorId="0" ref="S59">
      <text>
        <t xml:space="preserve">Pagada, Vencida, Vence hoy, Por vencer o Exceso sin imputar según fecha y saldo al corte.</t>
      </text>
    </comment>
    <comment authorId="0" ref="D588">
      <text>
        <t xml:space="preserve">Número de cuota dentro del crédito.</t>
      </text>
    </comment>
    <comment authorId="0" ref="T59">
      <text>
        <t xml:space="preserve">Auxiliar para encontrar la primera cuota pendiente. El 999999 indica que esta cuota no tiene saldo pendiente o está fuera del plazo, y no es una fecha real.</t>
      </text>
    </comment>
    <comment authorId="0" ref="E588">
      <text>
        <t xml:space="preserve">Fecha según EDATE a partir del primer vencimiento. No ajusta automáticamente feriados.</t>
      </text>
    </comment>
    <comment authorId="0" ref="F588">
      <text>
        <t xml:space="preserve">Capital al inicio del período en el calendario ORIGINAL, sin recalcular por pagos reales.</t>
      </text>
    </comment>
    <comment authorId="0" ref="G588">
      <text>
        <t xml:space="preserve">Tasa efectiva del mes según la base ingresada.</t>
      </text>
    </comment>
    <comment authorId="0" ref="H588">
      <text>
        <t xml:space="preserve">Interés del período = capital inicial × tasa mensual, redondeado a dos decimales.</t>
      </text>
    </comment>
    <comment authorId="0" ref="I588">
      <text>
        <t xml:space="preserve">Capital e interés pactados. La última cuota ajusta el saldo por redondeo.</t>
      </text>
    </comment>
    <comment authorId="0" ref="J588">
      <text>
        <t xml:space="preserve">Capital amortizado TEÓRICO = cuota base − interés, limitado al saldo.</t>
      </text>
    </comment>
    <comment authorId="0" ref="K588">
      <text>
        <t xml:space="preserve">Seguro y otros cargos fijos del mes.</t>
      </text>
    </comment>
    <comment authorId="0" ref="L588">
      <text>
        <t xml:space="preserve">Cuota base + cargos.</t>
      </text>
    </comment>
    <comment authorId="0" ref="M588">
      <text>
        <t xml:space="preserve">Capital final del calendario teórico. No equivale al saldo real si hay pagos parciales o atrasos.</t>
      </text>
    </comment>
    <comment authorId="0" ref="N588">
      <text>
        <t xml:space="preserve">Suma de pagos válidos del mismo ID y cuota con fecha igual o anterior al corte.</t>
      </text>
    </comment>
    <comment authorId="0" ref="O588">
      <text>
        <t xml:space="preserve">MIN(amortización pactada; MAX(0; pagado − cargos − interés)). No imputa excedentes a otras cuotas.</t>
      </text>
    </comment>
    <comment authorId="0" ref="P588">
      <text>
        <t xml:space="preserve">MAX(0; total pactado − pagado a esta cuota). Incluye capital, interés y cargos pendientes de ESA cuota.</t>
      </text>
    </comment>
    <comment authorId="0" ref="Q588">
      <text>
        <t xml:space="preserve">Días desde vencimiento hasta corte, solo si venció antes del corte y sigue con saldo.</t>
      </text>
    </comment>
    <comment authorId="0" ref="R588">
      <text>
        <t xml:space="preserve">MAX(0; pagado − cuota pactada). Exceso para revisar: no se traspasa a otra cuota.</t>
      </text>
    </comment>
    <comment authorId="0" ref="C60">
      <text>
        <t xml:space="preserve">Crédito al que corresponde esta cuota.</t>
      </text>
    </comment>
    <comment authorId="0" ref="S588">
      <text>
        <t xml:space="preserve">Pagada, Vencida, Vence hoy, Por vencer o Exceso sin imputar según fecha y saldo al corte.</t>
      </text>
    </comment>
    <comment authorId="0" ref="D60">
      <text>
        <t xml:space="preserve">Número de cuota dentro del crédito.</t>
      </text>
    </comment>
    <comment authorId="0" ref="T588">
      <text>
        <t xml:space="preserve">Auxiliar para encontrar la primera cuota pendiente. El 999999 indica que esta cuota no tiene saldo pendiente o está fuera del plazo, y no es una fecha real.</t>
      </text>
    </comment>
    <comment authorId="0" ref="E60">
      <text>
        <t xml:space="preserve">Fecha según EDATE a partir del primer vencimiento. No ajusta automáticamente feriados.</t>
      </text>
    </comment>
    <comment authorId="0" ref="F60">
      <text>
        <t xml:space="preserve">Capital al inicio del período en el calendario ORIGINAL, sin recalcular por pagos reales.</t>
      </text>
    </comment>
    <comment authorId="0" ref="G60">
      <text>
        <t xml:space="preserve">Tasa efectiva del mes según la base ingresada.</t>
      </text>
    </comment>
    <comment authorId="0" ref="H60">
      <text>
        <t xml:space="preserve">Interés del período = capital inicial × tasa mensual, redondeado a dos decimales.</t>
      </text>
    </comment>
    <comment authorId="0" ref="I60">
      <text>
        <t xml:space="preserve">Capital e interés pactados. La última cuota ajusta el saldo por redondeo.</t>
      </text>
    </comment>
    <comment authorId="0" ref="J60">
      <text>
        <t xml:space="preserve">Capital amortizado TEÓRICO = cuota base − interés, limitado al saldo.</t>
      </text>
    </comment>
    <comment authorId="0" ref="K60">
      <text>
        <t xml:space="preserve">Seguro y otros cargos fijos del mes.</t>
      </text>
    </comment>
    <comment authorId="0" ref="L60">
      <text>
        <t xml:space="preserve">Cuota base + cargos.</t>
      </text>
    </comment>
    <comment authorId="0" ref="M60">
      <text>
        <t xml:space="preserve">Capital final del calendario teórico. No equivale al saldo real si hay pagos parciales o atrasos.</t>
      </text>
    </comment>
    <comment authorId="0" ref="N60">
      <text>
        <t xml:space="preserve">Suma de pagos válidos del mismo ID y cuota con fecha igual o anterior al corte.</t>
      </text>
    </comment>
    <comment authorId="0" ref="O60">
      <text>
        <t xml:space="preserve">MIN(amortización pactada; MAX(0; pagado − cargos − interés)). No imputa excedentes a otras cuotas.</t>
      </text>
    </comment>
    <comment authorId="0" ref="P60">
      <text>
        <t xml:space="preserve">MAX(0; total pactado − pagado a esta cuota). Incluye capital, interés y cargos pendientes de ESA cuota.</t>
      </text>
    </comment>
    <comment authorId="0" ref="Q60">
      <text>
        <t xml:space="preserve">Días desde vencimiento hasta corte, solo si venció antes del corte y sigue con saldo.</t>
      </text>
    </comment>
    <comment authorId="0" ref="R60">
      <text>
        <t xml:space="preserve">MAX(0; pagado − cuota pactada). Exceso para revisar: no se traspasa a otra cuota.</t>
      </text>
    </comment>
    <comment authorId="0" ref="C589">
      <text>
        <t xml:space="preserve">Crédito al que corresponde esta cuota.</t>
      </text>
    </comment>
    <comment authorId="0" ref="S60">
      <text>
        <t xml:space="preserve">Pagada, Vencida, Vence hoy, Por vencer o Exceso sin imputar según fecha y saldo al corte.</t>
      </text>
    </comment>
    <comment authorId="0" ref="D589">
      <text>
        <t xml:space="preserve">Número de cuota dentro del crédito.</t>
      </text>
    </comment>
    <comment authorId="0" ref="T60">
      <text>
        <t xml:space="preserve">Auxiliar para encontrar la primera cuota pendiente. El 999999 indica que esta cuota no tiene saldo pendiente o está fuera del plazo, y no es una fecha real.</t>
      </text>
    </comment>
    <comment authorId="0" ref="E589">
      <text>
        <t xml:space="preserve">Fecha según EDATE a partir del primer vencimiento. No ajusta automáticamente feriados.</t>
      </text>
    </comment>
    <comment authorId="0" ref="F589">
      <text>
        <t xml:space="preserve">Capital al inicio del período en el calendario ORIGINAL, sin recalcular por pagos reales.</t>
      </text>
    </comment>
    <comment authorId="0" ref="G589">
      <text>
        <t xml:space="preserve">Tasa efectiva del mes según la base ingresada.</t>
      </text>
    </comment>
    <comment authorId="0" ref="H589">
      <text>
        <t xml:space="preserve">Interés del período = capital inicial × tasa mensual, redondeado a dos decimales.</t>
      </text>
    </comment>
    <comment authorId="0" ref="I589">
      <text>
        <t xml:space="preserve">Capital e interés pactados. La última cuota ajusta el saldo por redondeo.</t>
      </text>
    </comment>
    <comment authorId="0" ref="J589">
      <text>
        <t xml:space="preserve">Capital amortizado TEÓRICO = cuota base − interés, limitado al saldo.</t>
      </text>
    </comment>
    <comment authorId="0" ref="K589">
      <text>
        <t xml:space="preserve">Seguro y otros cargos fijos del mes.</t>
      </text>
    </comment>
    <comment authorId="0" ref="L589">
      <text>
        <t xml:space="preserve">Cuota base + cargos.</t>
      </text>
    </comment>
    <comment authorId="0" ref="M589">
      <text>
        <t xml:space="preserve">Capital final del calendario teórico. No equivale al saldo real si hay pagos parciales o atrasos.</t>
      </text>
    </comment>
    <comment authorId="0" ref="N589">
      <text>
        <t xml:space="preserve">Suma de pagos válidos del mismo ID y cuota con fecha igual o anterior al corte.</t>
      </text>
    </comment>
    <comment authorId="0" ref="O589">
      <text>
        <t xml:space="preserve">MIN(amortización pactada; MAX(0; pagado − cargos − interés)). No imputa excedentes a otras cuotas.</t>
      </text>
    </comment>
    <comment authorId="0" ref="P589">
      <text>
        <t xml:space="preserve">MAX(0; total pactado − pagado a esta cuota). Incluye capital, interés y cargos pendientes de ESA cuota.</t>
      </text>
    </comment>
    <comment authorId="0" ref="Q589">
      <text>
        <t xml:space="preserve">Días desde vencimiento hasta corte, solo si venció antes del corte y sigue con saldo.</t>
      </text>
    </comment>
    <comment authorId="0" ref="R589">
      <text>
        <t xml:space="preserve">MAX(0; pagado − cuota pactada). Exceso para revisar: no se traspasa a otra cuota.</t>
      </text>
    </comment>
    <comment authorId="0" ref="C61">
      <text>
        <t xml:space="preserve">Crédito al que corresponde esta cuota.</t>
      </text>
    </comment>
    <comment authorId="0" ref="S589">
      <text>
        <t xml:space="preserve">Pagada, Vencida, Vence hoy, Por vencer o Exceso sin imputar según fecha y saldo al corte.</t>
      </text>
    </comment>
    <comment authorId="0" ref="D61">
      <text>
        <t xml:space="preserve">Número de cuota dentro del crédito.</t>
      </text>
    </comment>
    <comment authorId="0" ref="T589">
      <text>
        <t xml:space="preserve">Auxiliar para encontrar la primera cuota pendiente. El 999999 indica que esta cuota no tiene saldo pendiente o está fuera del plazo, y no es una fecha real.</t>
      </text>
    </comment>
    <comment authorId="0" ref="E61">
      <text>
        <t xml:space="preserve">Fecha según EDATE a partir del primer vencimiento. No ajusta automáticamente feriados.</t>
      </text>
    </comment>
    <comment authorId="0" ref="F61">
      <text>
        <t xml:space="preserve">Capital al inicio del período en el calendario ORIGINAL, sin recalcular por pagos reales.</t>
      </text>
    </comment>
    <comment authorId="0" ref="G61">
      <text>
        <t xml:space="preserve">Tasa efectiva del mes según la base ingresada.</t>
      </text>
    </comment>
    <comment authorId="0" ref="H61">
      <text>
        <t xml:space="preserve">Interés del período = capital inicial × tasa mensual, redondeado a dos decimales.</t>
      </text>
    </comment>
    <comment authorId="0" ref="I61">
      <text>
        <t xml:space="preserve">Capital e interés pactados. La última cuota ajusta el saldo por redondeo.</t>
      </text>
    </comment>
    <comment authorId="0" ref="J61">
      <text>
        <t xml:space="preserve">Capital amortizado TEÓRICO = cuota base − interés, limitado al saldo.</t>
      </text>
    </comment>
    <comment authorId="0" ref="K61">
      <text>
        <t xml:space="preserve">Seguro y otros cargos fijos del mes.</t>
      </text>
    </comment>
    <comment authorId="0" ref="L61">
      <text>
        <t xml:space="preserve">Cuota base + cargos.</t>
      </text>
    </comment>
    <comment authorId="0" ref="M61">
      <text>
        <t xml:space="preserve">Capital final del calendario teórico. No equivale al saldo real si hay pagos parciales o atrasos.</t>
      </text>
    </comment>
    <comment authorId="0" ref="N61">
      <text>
        <t xml:space="preserve">Suma de pagos válidos del mismo ID y cuota con fecha igual o anterior al corte.</t>
      </text>
    </comment>
    <comment authorId="0" ref="O61">
      <text>
        <t xml:space="preserve">MIN(amortización pactada; MAX(0; pagado − cargos − interés)). No imputa excedentes a otras cuotas.</t>
      </text>
    </comment>
    <comment authorId="0" ref="P61">
      <text>
        <t xml:space="preserve">MAX(0; total pactado − pagado a esta cuota). Incluye capital, interés y cargos pendientes de ESA cuota.</t>
      </text>
    </comment>
    <comment authorId="0" ref="Q61">
      <text>
        <t xml:space="preserve">Días desde vencimiento hasta corte, solo si venció antes del corte y sigue con saldo.</t>
      </text>
    </comment>
    <comment authorId="0" ref="R61">
      <text>
        <t xml:space="preserve">MAX(0; pagado − cuota pactada). Exceso para revisar: no se traspasa a otra cuota.</t>
      </text>
    </comment>
    <comment authorId="0" ref="C590">
      <text>
        <t xml:space="preserve">Crédito al que corresponde esta cuota.</t>
      </text>
    </comment>
    <comment authorId="0" ref="S61">
      <text>
        <t xml:space="preserve">Pagada, Vencida, Vence hoy, Por vencer o Exceso sin imputar según fecha y saldo al corte.</t>
      </text>
    </comment>
    <comment authorId="0" ref="D590">
      <text>
        <t xml:space="preserve">Número de cuota dentro del crédito.</t>
      </text>
    </comment>
    <comment authorId="0" ref="T61">
      <text>
        <t xml:space="preserve">Auxiliar para encontrar la primera cuota pendiente. El 999999 indica que esta cuota no tiene saldo pendiente o está fuera del plazo, y no es una fecha real.</t>
      </text>
    </comment>
    <comment authorId="0" ref="E590">
      <text>
        <t xml:space="preserve">Fecha según EDATE a partir del primer vencimiento. No ajusta automáticamente feriados.</t>
      </text>
    </comment>
    <comment authorId="0" ref="F590">
      <text>
        <t xml:space="preserve">Capital al inicio del período en el calendario ORIGINAL, sin recalcular por pagos reales.</t>
      </text>
    </comment>
    <comment authorId="0" ref="G590">
      <text>
        <t xml:space="preserve">Tasa efectiva del mes según la base ingresada.</t>
      </text>
    </comment>
    <comment authorId="0" ref="H590">
      <text>
        <t xml:space="preserve">Interés del período = capital inicial × tasa mensual, redondeado a dos decimales.</t>
      </text>
    </comment>
    <comment authorId="0" ref="I590">
      <text>
        <t xml:space="preserve">Capital e interés pactados. La última cuota ajusta el saldo por redondeo.</t>
      </text>
    </comment>
    <comment authorId="0" ref="J590">
      <text>
        <t xml:space="preserve">Capital amortizado TEÓRICO = cuota base − interés, limitado al saldo.</t>
      </text>
    </comment>
    <comment authorId="0" ref="K590">
      <text>
        <t xml:space="preserve">Seguro y otros cargos fijos del mes.</t>
      </text>
    </comment>
    <comment authorId="0" ref="L590">
      <text>
        <t xml:space="preserve">Cuota base + cargos.</t>
      </text>
    </comment>
    <comment authorId="0" ref="M590">
      <text>
        <t xml:space="preserve">Capital final del calendario teórico. No equivale al saldo real si hay pagos parciales o atrasos.</t>
      </text>
    </comment>
    <comment authorId="0" ref="N590">
      <text>
        <t xml:space="preserve">Suma de pagos válidos del mismo ID y cuota con fecha igual o anterior al corte.</t>
      </text>
    </comment>
    <comment authorId="0" ref="O590">
      <text>
        <t xml:space="preserve">MIN(amortización pactada; MAX(0; pagado − cargos − interés)). No imputa excedentes a otras cuotas.</t>
      </text>
    </comment>
    <comment authorId="0" ref="P590">
      <text>
        <t xml:space="preserve">MAX(0; total pactado − pagado a esta cuota). Incluye capital, interés y cargos pendientes de ESA cuota.</t>
      </text>
    </comment>
    <comment authorId="0" ref="Q590">
      <text>
        <t xml:space="preserve">Días desde vencimiento hasta corte, solo si venció antes del corte y sigue con saldo.</t>
      </text>
    </comment>
    <comment authorId="0" ref="R590">
      <text>
        <t xml:space="preserve">MAX(0; pagado − cuota pactada). Exceso para revisar: no se traspasa a otra cuota.</t>
      </text>
    </comment>
    <comment authorId="0" ref="C62">
      <text>
        <t xml:space="preserve">Crédito al que corresponde esta cuota.</t>
      </text>
    </comment>
    <comment authorId="0" ref="S590">
      <text>
        <t xml:space="preserve">Pagada, Vencida, Vence hoy, Por vencer o Exceso sin imputar según fecha y saldo al corte.</t>
      </text>
    </comment>
    <comment authorId="0" ref="D62">
      <text>
        <t xml:space="preserve">Número de cuota dentro del crédito.</t>
      </text>
    </comment>
    <comment authorId="0" ref="T590">
      <text>
        <t xml:space="preserve">Auxiliar para encontrar la primera cuota pendiente. El 999999 indica que esta cuota no tiene saldo pendiente o está fuera del plazo, y no es una fecha real.</t>
      </text>
    </comment>
    <comment authorId="0" ref="E62">
      <text>
        <t xml:space="preserve">Fecha según EDATE a partir del primer vencimiento. No ajusta automáticamente feriados.</t>
      </text>
    </comment>
    <comment authorId="0" ref="F62">
      <text>
        <t xml:space="preserve">Capital al inicio del período en el calendario ORIGINAL, sin recalcular por pagos reales.</t>
      </text>
    </comment>
    <comment authorId="0" ref="G62">
      <text>
        <t xml:space="preserve">Tasa efectiva del mes según la base ingresada.</t>
      </text>
    </comment>
    <comment authorId="0" ref="H62">
      <text>
        <t xml:space="preserve">Interés del período = capital inicial × tasa mensual, redondeado a dos decimales.</t>
      </text>
    </comment>
    <comment authorId="0" ref="I62">
      <text>
        <t xml:space="preserve">Capital e interés pactados. La última cuota ajusta el saldo por redondeo.</t>
      </text>
    </comment>
    <comment authorId="0" ref="J62">
      <text>
        <t xml:space="preserve">Capital amortizado TEÓRICO = cuota base − interés, limitado al saldo.</t>
      </text>
    </comment>
    <comment authorId="0" ref="K62">
      <text>
        <t xml:space="preserve">Seguro y otros cargos fijos del mes.</t>
      </text>
    </comment>
    <comment authorId="0" ref="L62">
      <text>
        <t xml:space="preserve">Cuota base + cargos.</t>
      </text>
    </comment>
    <comment authorId="0" ref="M62">
      <text>
        <t xml:space="preserve">Capital final del calendario teórico. No equivale al saldo real si hay pagos parciales o atrasos.</t>
      </text>
    </comment>
    <comment authorId="0" ref="N62">
      <text>
        <t xml:space="preserve">Suma de pagos válidos del mismo ID y cuota con fecha igual o anterior al corte.</t>
      </text>
    </comment>
    <comment authorId="0" ref="O62">
      <text>
        <t xml:space="preserve">MIN(amortización pactada; MAX(0; pagado − cargos − interés)). No imputa excedentes a otras cuotas.</t>
      </text>
    </comment>
    <comment authorId="0" ref="P62">
      <text>
        <t xml:space="preserve">MAX(0; total pactado − pagado a esta cuota). Incluye capital, interés y cargos pendientes de ESA cuota.</t>
      </text>
    </comment>
    <comment authorId="0" ref="Q62">
      <text>
        <t xml:space="preserve">Días desde vencimiento hasta corte, solo si venció antes del corte y sigue con saldo.</t>
      </text>
    </comment>
    <comment authorId="0" ref="R62">
      <text>
        <t xml:space="preserve">MAX(0; pagado − cuota pactada). Exceso para revisar: no se traspasa a otra cuota.</t>
      </text>
    </comment>
    <comment authorId="0" ref="C591">
      <text>
        <t xml:space="preserve">Crédito al que corresponde esta cuota.</t>
      </text>
    </comment>
    <comment authorId="0" ref="S62">
      <text>
        <t xml:space="preserve">Pagada, Vencida, Vence hoy, Por vencer o Exceso sin imputar según fecha y saldo al corte.</t>
      </text>
    </comment>
    <comment authorId="0" ref="D591">
      <text>
        <t xml:space="preserve">Número de cuota dentro del crédito.</t>
      </text>
    </comment>
    <comment authorId="0" ref="T62">
      <text>
        <t xml:space="preserve">Auxiliar para encontrar la primera cuota pendiente. El 999999 indica que esta cuota no tiene saldo pendiente o está fuera del plazo, y no es una fecha real.</t>
      </text>
    </comment>
    <comment authorId="0" ref="E591">
      <text>
        <t xml:space="preserve">Fecha según EDATE a partir del primer vencimiento. No ajusta automáticamente feriados.</t>
      </text>
    </comment>
    <comment authorId="0" ref="F591">
      <text>
        <t xml:space="preserve">Capital al inicio del período en el calendario ORIGINAL, sin recalcular por pagos reales.</t>
      </text>
    </comment>
    <comment authorId="0" ref="G591">
      <text>
        <t xml:space="preserve">Tasa efectiva del mes según la base ingresada.</t>
      </text>
    </comment>
    <comment authorId="0" ref="H591">
      <text>
        <t xml:space="preserve">Interés del período = capital inicial × tasa mensual, redondeado a dos decimales.</t>
      </text>
    </comment>
    <comment authorId="0" ref="I591">
      <text>
        <t xml:space="preserve">Capital e interés pactados. La última cuota ajusta el saldo por redondeo.</t>
      </text>
    </comment>
    <comment authorId="0" ref="J591">
      <text>
        <t xml:space="preserve">Capital amortizado TEÓRICO = cuota base − interés, limitado al saldo.</t>
      </text>
    </comment>
    <comment authorId="0" ref="K591">
      <text>
        <t xml:space="preserve">Seguro y otros cargos fijos del mes.</t>
      </text>
    </comment>
    <comment authorId="0" ref="L591">
      <text>
        <t xml:space="preserve">Cuota base + cargos.</t>
      </text>
    </comment>
    <comment authorId="0" ref="M591">
      <text>
        <t xml:space="preserve">Capital final del calendario teórico. No equivale al saldo real si hay pagos parciales o atrasos.</t>
      </text>
    </comment>
    <comment authorId="0" ref="N591">
      <text>
        <t xml:space="preserve">Suma de pagos válidos del mismo ID y cuota con fecha igual o anterior al corte.</t>
      </text>
    </comment>
    <comment authorId="0" ref="O591">
      <text>
        <t xml:space="preserve">MIN(amortización pactada; MAX(0; pagado − cargos − interés)). No imputa excedentes a otras cuotas.</t>
      </text>
    </comment>
    <comment authorId="0" ref="P591">
      <text>
        <t xml:space="preserve">MAX(0; total pactado − pagado a esta cuota). Incluye capital, interés y cargos pendientes de ESA cuota.</t>
      </text>
    </comment>
    <comment authorId="0" ref="Q591">
      <text>
        <t xml:space="preserve">Días desde vencimiento hasta corte, solo si venció antes del corte y sigue con saldo.</t>
      </text>
    </comment>
    <comment authorId="0" ref="R591">
      <text>
        <t xml:space="preserve">MAX(0; pagado − cuota pactada). Exceso para revisar: no se traspasa a otra cuota.</t>
      </text>
    </comment>
    <comment authorId="0" ref="C63">
      <text>
        <t xml:space="preserve">Crédito al que corresponde esta cuota.</t>
      </text>
    </comment>
    <comment authorId="0" ref="S591">
      <text>
        <t xml:space="preserve">Pagada, Vencida, Vence hoy, Por vencer o Exceso sin imputar según fecha y saldo al corte.</t>
      </text>
    </comment>
    <comment authorId="0" ref="D63">
      <text>
        <t xml:space="preserve">Número de cuota dentro del crédito.</t>
      </text>
    </comment>
    <comment authorId="0" ref="T591">
      <text>
        <t xml:space="preserve">Auxiliar para encontrar la primera cuota pendiente. El 999999 indica que esta cuota no tiene saldo pendiente o está fuera del plazo, y no es una fecha real.</t>
      </text>
    </comment>
    <comment authorId="0" ref="E63">
      <text>
        <t xml:space="preserve">Fecha según EDATE a partir del primer vencimiento. No ajusta automáticamente feriados.</t>
      </text>
    </comment>
    <comment authorId="0" ref="F63">
      <text>
        <t xml:space="preserve">Capital al inicio del período en el calendario ORIGINAL, sin recalcular por pagos reales.</t>
      </text>
    </comment>
    <comment authorId="0" ref="G63">
      <text>
        <t xml:space="preserve">Tasa efectiva del mes según la base ingresada.</t>
      </text>
    </comment>
    <comment authorId="0" ref="H63">
      <text>
        <t xml:space="preserve">Interés del período = capital inicial × tasa mensual, redondeado a dos decimales.</t>
      </text>
    </comment>
    <comment authorId="0" ref="I63">
      <text>
        <t xml:space="preserve">Capital e interés pactados. La última cuota ajusta el saldo por redondeo.</t>
      </text>
    </comment>
    <comment authorId="0" ref="J63">
      <text>
        <t xml:space="preserve">Capital amortizado TEÓRICO = cuota base − interés, limitado al saldo.</t>
      </text>
    </comment>
    <comment authorId="0" ref="K63">
      <text>
        <t xml:space="preserve">Seguro y otros cargos fijos del mes.</t>
      </text>
    </comment>
    <comment authorId="0" ref="L63">
      <text>
        <t xml:space="preserve">Cuota base + cargos.</t>
      </text>
    </comment>
    <comment authorId="0" ref="M63">
      <text>
        <t xml:space="preserve">Capital final del calendario teórico. No equivale al saldo real si hay pagos parciales o atrasos.</t>
      </text>
    </comment>
    <comment authorId="0" ref="N63">
      <text>
        <t xml:space="preserve">Suma de pagos válidos del mismo ID y cuota con fecha igual o anterior al corte.</t>
      </text>
    </comment>
    <comment authorId="0" ref="O63">
      <text>
        <t xml:space="preserve">MIN(amortización pactada; MAX(0; pagado − cargos − interés)). No imputa excedentes a otras cuotas.</t>
      </text>
    </comment>
    <comment authorId="0" ref="P63">
      <text>
        <t xml:space="preserve">MAX(0; total pactado − pagado a esta cuota). Incluye capital, interés y cargos pendientes de ESA cuota.</t>
      </text>
    </comment>
    <comment authorId="0" ref="Q63">
      <text>
        <t xml:space="preserve">Días desde vencimiento hasta corte, solo si venció antes del corte y sigue con saldo.</t>
      </text>
    </comment>
    <comment authorId="0" ref="R63">
      <text>
        <t xml:space="preserve">MAX(0; pagado − cuota pactada). Exceso para revisar: no se traspasa a otra cuota.</t>
      </text>
    </comment>
    <comment authorId="0" ref="C592">
      <text>
        <t xml:space="preserve">Crédito al que corresponde esta cuota.</t>
      </text>
    </comment>
    <comment authorId="0" ref="S63">
      <text>
        <t xml:space="preserve">Pagada, Vencida, Vence hoy, Por vencer o Exceso sin imputar según fecha y saldo al corte.</t>
      </text>
    </comment>
    <comment authorId="0" ref="D592">
      <text>
        <t xml:space="preserve">Número de cuota dentro del crédito.</t>
      </text>
    </comment>
    <comment authorId="0" ref="T63">
      <text>
        <t xml:space="preserve">Auxiliar para encontrar la primera cuota pendiente. El 999999 indica que esta cuota no tiene saldo pendiente o está fuera del plazo, y no es una fecha real.</t>
      </text>
    </comment>
    <comment authorId="0" ref="E592">
      <text>
        <t xml:space="preserve">Fecha según EDATE a partir del primer vencimiento. No ajusta automáticamente feriados.</t>
      </text>
    </comment>
    <comment authorId="0" ref="F592">
      <text>
        <t xml:space="preserve">Capital al inicio del período en el calendario ORIGINAL, sin recalcular por pagos reales.</t>
      </text>
    </comment>
    <comment authorId="0" ref="G592">
      <text>
        <t xml:space="preserve">Tasa efectiva del mes según la base ingresada.</t>
      </text>
    </comment>
    <comment authorId="0" ref="H592">
      <text>
        <t xml:space="preserve">Interés del período = capital inicial × tasa mensual, redondeado a dos decimales.</t>
      </text>
    </comment>
    <comment authorId="0" ref="I592">
      <text>
        <t xml:space="preserve">Capital e interés pactados. La última cuota ajusta el saldo por redondeo.</t>
      </text>
    </comment>
    <comment authorId="0" ref="J592">
      <text>
        <t xml:space="preserve">Capital amortizado TEÓRICO = cuota base − interés, limitado al saldo.</t>
      </text>
    </comment>
    <comment authorId="0" ref="K592">
      <text>
        <t xml:space="preserve">Seguro y otros cargos fijos del mes.</t>
      </text>
    </comment>
    <comment authorId="0" ref="L592">
      <text>
        <t xml:space="preserve">Cuota base + cargos.</t>
      </text>
    </comment>
    <comment authorId="0" ref="M592">
      <text>
        <t xml:space="preserve">Capital final del calendario teórico. No equivale al saldo real si hay pagos parciales o atrasos.</t>
      </text>
    </comment>
    <comment authorId="0" ref="N592">
      <text>
        <t xml:space="preserve">Suma de pagos válidos del mismo ID y cuota con fecha igual o anterior al corte.</t>
      </text>
    </comment>
    <comment authorId="0" ref="O592">
      <text>
        <t xml:space="preserve">MIN(amortización pactada; MAX(0; pagado − cargos − interés)). No imputa excedentes a otras cuotas.</t>
      </text>
    </comment>
    <comment authorId="0" ref="P592">
      <text>
        <t xml:space="preserve">MAX(0; total pactado − pagado a esta cuota). Incluye capital, interés y cargos pendientes de ESA cuota.</t>
      </text>
    </comment>
    <comment authorId="0" ref="Q592">
      <text>
        <t xml:space="preserve">Días desde vencimiento hasta corte, solo si venció antes del corte y sigue con saldo.</t>
      </text>
    </comment>
    <comment authorId="0" ref="R592">
      <text>
        <t xml:space="preserve">MAX(0; pagado − cuota pactada). Exceso para revisar: no se traspasa a otra cuota.</t>
      </text>
    </comment>
    <comment authorId="0" ref="C64">
      <text>
        <t xml:space="preserve">Crédito al que corresponde esta cuota.</t>
      </text>
    </comment>
    <comment authorId="0" ref="S592">
      <text>
        <t xml:space="preserve">Pagada, Vencida, Vence hoy, Por vencer o Exceso sin imputar según fecha y saldo al corte.</t>
      </text>
    </comment>
    <comment authorId="0" ref="D64">
      <text>
        <t xml:space="preserve">Número de cuota dentro del crédito.</t>
      </text>
    </comment>
    <comment authorId="0" ref="T592">
      <text>
        <t xml:space="preserve">Auxiliar para encontrar la primera cuota pendiente. El 999999 indica que esta cuota no tiene saldo pendiente o está fuera del plazo, y no es una fecha real.</t>
      </text>
    </comment>
    <comment authorId="0" ref="E64">
      <text>
        <t xml:space="preserve">Fecha según EDATE a partir del primer vencimiento. No ajusta automáticamente feriados.</t>
      </text>
    </comment>
    <comment authorId="0" ref="F64">
      <text>
        <t xml:space="preserve">Capital al inicio del período en el calendario ORIGINAL, sin recalcular por pagos reales.</t>
      </text>
    </comment>
    <comment authorId="0" ref="G64">
      <text>
        <t xml:space="preserve">Tasa efectiva del mes según la base ingresada.</t>
      </text>
    </comment>
    <comment authorId="0" ref="H64">
      <text>
        <t xml:space="preserve">Interés del período = capital inicial × tasa mensual, redondeado a dos decimales.</t>
      </text>
    </comment>
    <comment authorId="0" ref="I64">
      <text>
        <t xml:space="preserve">Capital e interés pactados. La última cuota ajusta el saldo por redondeo.</t>
      </text>
    </comment>
    <comment authorId="0" ref="J64">
      <text>
        <t xml:space="preserve">Capital amortizado TEÓRICO = cuota base − interés, limitado al saldo.</t>
      </text>
    </comment>
    <comment authorId="0" ref="K64">
      <text>
        <t xml:space="preserve">Seguro y otros cargos fijos del mes.</t>
      </text>
    </comment>
    <comment authorId="0" ref="L64">
      <text>
        <t xml:space="preserve">Cuota base + cargos.</t>
      </text>
    </comment>
    <comment authorId="0" ref="M64">
      <text>
        <t xml:space="preserve">Capital final del calendario teórico. No equivale al saldo real si hay pagos parciales o atrasos.</t>
      </text>
    </comment>
    <comment authorId="0" ref="N64">
      <text>
        <t xml:space="preserve">Suma de pagos válidos del mismo ID y cuota con fecha igual o anterior al corte.</t>
      </text>
    </comment>
    <comment authorId="0" ref="O64">
      <text>
        <t xml:space="preserve">MIN(amortización pactada; MAX(0; pagado − cargos − interés)). No imputa excedentes a otras cuotas.</t>
      </text>
    </comment>
    <comment authorId="0" ref="P64">
      <text>
        <t xml:space="preserve">MAX(0; total pactado − pagado a esta cuota). Incluye capital, interés y cargos pendientes de ESA cuota.</t>
      </text>
    </comment>
    <comment authorId="0" ref="Q64">
      <text>
        <t xml:space="preserve">Días desde vencimiento hasta corte, solo si venció antes del corte y sigue con saldo.</t>
      </text>
    </comment>
    <comment authorId="0" ref="R64">
      <text>
        <t xml:space="preserve">MAX(0; pagado − cuota pactada). Exceso para revisar: no se traspasa a otra cuota.</t>
      </text>
    </comment>
    <comment authorId="0" ref="C593">
      <text>
        <t xml:space="preserve">Crédito al que corresponde esta cuota.</t>
      </text>
    </comment>
    <comment authorId="0" ref="S64">
      <text>
        <t xml:space="preserve">Pagada, Vencida, Vence hoy, Por vencer o Exceso sin imputar según fecha y saldo al corte.</t>
      </text>
    </comment>
    <comment authorId="0" ref="D593">
      <text>
        <t xml:space="preserve">Número de cuota dentro del crédito.</t>
      </text>
    </comment>
    <comment authorId="0" ref="T64">
      <text>
        <t xml:space="preserve">Auxiliar para encontrar la primera cuota pendiente. El 999999 indica que esta cuota no tiene saldo pendiente o está fuera del plazo, y no es una fecha real.</t>
      </text>
    </comment>
    <comment authorId="0" ref="E593">
      <text>
        <t xml:space="preserve">Fecha según EDATE a partir del primer vencimiento. No ajusta automáticamente feriados.</t>
      </text>
    </comment>
    <comment authorId="0" ref="F593">
      <text>
        <t xml:space="preserve">Capital al inicio del período en el calendario ORIGINAL, sin recalcular por pagos reales.</t>
      </text>
    </comment>
    <comment authorId="0" ref="G593">
      <text>
        <t xml:space="preserve">Tasa efectiva del mes según la base ingresada.</t>
      </text>
    </comment>
    <comment authorId="0" ref="H593">
      <text>
        <t xml:space="preserve">Interés del período = capital inicial × tasa mensual, redondeado a dos decimales.</t>
      </text>
    </comment>
    <comment authorId="0" ref="I593">
      <text>
        <t xml:space="preserve">Capital e interés pactados. La última cuota ajusta el saldo por redondeo.</t>
      </text>
    </comment>
    <comment authorId="0" ref="J593">
      <text>
        <t xml:space="preserve">Capital amortizado TEÓRICO = cuota base − interés, limitado al saldo.</t>
      </text>
    </comment>
    <comment authorId="0" ref="K593">
      <text>
        <t xml:space="preserve">Seguro y otros cargos fijos del mes.</t>
      </text>
    </comment>
    <comment authorId="0" ref="L593">
      <text>
        <t xml:space="preserve">Cuota base + cargos.</t>
      </text>
    </comment>
    <comment authorId="0" ref="M593">
      <text>
        <t xml:space="preserve">Capital final del calendario teórico. No equivale al saldo real si hay pagos parciales o atrasos.</t>
      </text>
    </comment>
    <comment authorId="0" ref="N593">
      <text>
        <t xml:space="preserve">Suma de pagos válidos del mismo ID y cuota con fecha igual o anterior al corte.</t>
      </text>
    </comment>
    <comment authorId="0" ref="O593">
      <text>
        <t xml:space="preserve">MIN(amortización pactada; MAX(0; pagado − cargos − interés)). No imputa excedentes a otras cuotas.</t>
      </text>
    </comment>
    <comment authorId="0" ref="P593">
      <text>
        <t xml:space="preserve">MAX(0; total pactado − pagado a esta cuota). Incluye capital, interés y cargos pendientes de ESA cuota.</t>
      </text>
    </comment>
    <comment authorId="0" ref="Q593">
      <text>
        <t xml:space="preserve">Días desde vencimiento hasta corte, solo si venció antes del corte y sigue con saldo.</t>
      </text>
    </comment>
    <comment authorId="0" ref="R593">
      <text>
        <t xml:space="preserve">MAX(0; pagado − cuota pactada). Exceso para revisar: no se traspasa a otra cuota.</t>
      </text>
    </comment>
    <comment authorId="0" ref="C65">
      <text>
        <t xml:space="preserve">Crédito al que corresponde esta cuota.</t>
      </text>
    </comment>
    <comment authorId="0" ref="S593">
      <text>
        <t xml:space="preserve">Pagada, Vencida, Vence hoy, Por vencer o Exceso sin imputar según fecha y saldo al corte.</t>
      </text>
    </comment>
    <comment authorId="0" ref="D65">
      <text>
        <t xml:space="preserve">Número de cuota dentro del crédito.</t>
      </text>
    </comment>
    <comment authorId="0" ref="T593">
      <text>
        <t xml:space="preserve">Auxiliar para encontrar la primera cuota pendiente. El 999999 indica que esta cuota no tiene saldo pendiente o está fuera del plazo, y no es una fecha real.</t>
      </text>
    </comment>
    <comment authorId="0" ref="E65">
      <text>
        <t xml:space="preserve">Fecha según EDATE a partir del primer vencimiento. No ajusta automáticamente feriados.</t>
      </text>
    </comment>
    <comment authorId="0" ref="F65">
      <text>
        <t xml:space="preserve">Capital al inicio del período en el calendario ORIGINAL, sin recalcular por pagos reales.</t>
      </text>
    </comment>
    <comment authorId="0" ref="G65">
      <text>
        <t xml:space="preserve">Tasa efectiva del mes según la base ingresada.</t>
      </text>
    </comment>
    <comment authorId="0" ref="H65">
      <text>
        <t xml:space="preserve">Interés del período = capital inicial × tasa mensual, redondeado a dos decimales.</t>
      </text>
    </comment>
    <comment authorId="0" ref="I65">
      <text>
        <t xml:space="preserve">Capital e interés pactados. La última cuota ajusta el saldo por redondeo.</t>
      </text>
    </comment>
    <comment authorId="0" ref="J65">
      <text>
        <t xml:space="preserve">Capital amortizado TEÓRICO = cuota base − interés, limitado al saldo.</t>
      </text>
    </comment>
    <comment authorId="0" ref="K65">
      <text>
        <t xml:space="preserve">Seguro y otros cargos fijos del mes.</t>
      </text>
    </comment>
    <comment authorId="0" ref="L65">
      <text>
        <t xml:space="preserve">Cuota base + cargos.</t>
      </text>
    </comment>
    <comment authorId="0" ref="M65">
      <text>
        <t xml:space="preserve">Capital final del calendario teórico. No equivale al saldo real si hay pagos parciales o atrasos.</t>
      </text>
    </comment>
    <comment authorId="0" ref="N65">
      <text>
        <t xml:space="preserve">Suma de pagos válidos del mismo ID y cuota con fecha igual o anterior al corte.</t>
      </text>
    </comment>
    <comment authorId="0" ref="O65">
      <text>
        <t xml:space="preserve">MIN(amortización pactada; MAX(0; pagado − cargos − interés)). No imputa excedentes a otras cuotas.</t>
      </text>
    </comment>
    <comment authorId="0" ref="P65">
      <text>
        <t xml:space="preserve">MAX(0; total pactado − pagado a esta cuota). Incluye capital, interés y cargos pendientes de ESA cuota.</t>
      </text>
    </comment>
    <comment authorId="0" ref="Q65">
      <text>
        <t xml:space="preserve">Días desde vencimiento hasta corte, solo si venció antes del corte y sigue con saldo.</t>
      </text>
    </comment>
    <comment authorId="0" ref="R65">
      <text>
        <t xml:space="preserve">MAX(0; pagado − cuota pactada). Exceso para revisar: no se traspasa a otra cuota.</t>
      </text>
    </comment>
    <comment authorId="0" ref="C594">
      <text>
        <t xml:space="preserve">Crédito al que corresponde esta cuota.</t>
      </text>
    </comment>
    <comment authorId="0" ref="S65">
      <text>
        <t xml:space="preserve">Pagada, Vencida, Vence hoy, Por vencer o Exceso sin imputar según fecha y saldo al corte.</t>
      </text>
    </comment>
    <comment authorId="0" ref="D594">
      <text>
        <t xml:space="preserve">Número de cuota dentro del crédito.</t>
      </text>
    </comment>
    <comment authorId="0" ref="T65">
      <text>
        <t xml:space="preserve">Auxiliar para encontrar la primera cuota pendiente. El 999999 indica que esta cuota no tiene saldo pendiente o está fuera del plazo, y no es una fecha real.</t>
      </text>
    </comment>
    <comment authorId="0" ref="E594">
      <text>
        <t xml:space="preserve">Fecha según EDATE a partir del primer vencimiento. No ajusta automáticamente feriados.</t>
      </text>
    </comment>
    <comment authorId="0" ref="F594">
      <text>
        <t xml:space="preserve">Capital al inicio del período en el calendario ORIGINAL, sin recalcular por pagos reales.</t>
      </text>
    </comment>
    <comment authorId="0" ref="G594">
      <text>
        <t xml:space="preserve">Tasa efectiva del mes según la base ingresada.</t>
      </text>
    </comment>
    <comment authorId="0" ref="H594">
      <text>
        <t xml:space="preserve">Interés del período = capital inicial × tasa mensual, redondeado a dos decimales.</t>
      </text>
    </comment>
    <comment authorId="0" ref="I594">
      <text>
        <t xml:space="preserve">Capital e interés pactados. La última cuota ajusta el saldo por redondeo.</t>
      </text>
    </comment>
    <comment authorId="0" ref="J594">
      <text>
        <t xml:space="preserve">Capital amortizado TEÓRICO = cuota base − interés, limitado al saldo.</t>
      </text>
    </comment>
    <comment authorId="0" ref="K594">
      <text>
        <t xml:space="preserve">Seguro y otros cargos fijos del mes.</t>
      </text>
    </comment>
    <comment authorId="0" ref="L594">
      <text>
        <t xml:space="preserve">Cuota base + cargos.</t>
      </text>
    </comment>
    <comment authorId="0" ref="M594">
      <text>
        <t xml:space="preserve">Capital final del calendario teórico. No equivale al saldo real si hay pagos parciales o atrasos.</t>
      </text>
    </comment>
    <comment authorId="0" ref="N594">
      <text>
        <t xml:space="preserve">Suma de pagos válidos del mismo ID y cuota con fecha igual o anterior al corte.</t>
      </text>
    </comment>
    <comment authorId="0" ref="O594">
      <text>
        <t xml:space="preserve">MIN(amortización pactada; MAX(0; pagado − cargos − interés)). No imputa excedentes a otras cuotas.</t>
      </text>
    </comment>
    <comment authorId="0" ref="P594">
      <text>
        <t xml:space="preserve">MAX(0; total pactado − pagado a esta cuota). Incluye capital, interés y cargos pendientes de ESA cuota.</t>
      </text>
    </comment>
    <comment authorId="0" ref="Q594">
      <text>
        <t xml:space="preserve">Días desde vencimiento hasta corte, solo si venció antes del corte y sigue con saldo.</t>
      </text>
    </comment>
    <comment authorId="0" ref="R594">
      <text>
        <t xml:space="preserve">MAX(0; pagado − cuota pactada). Exceso para revisar: no se traspasa a otra cuota.</t>
      </text>
    </comment>
    <comment authorId="0" ref="C66">
      <text>
        <t xml:space="preserve">Crédito al que corresponde esta cuota.</t>
      </text>
    </comment>
    <comment authorId="0" ref="S594">
      <text>
        <t xml:space="preserve">Pagada, Vencida, Vence hoy, Por vencer o Exceso sin imputar según fecha y saldo al corte.</t>
      </text>
    </comment>
    <comment authorId="0" ref="D66">
      <text>
        <t xml:space="preserve">Número de cuota dentro del crédito.</t>
      </text>
    </comment>
    <comment authorId="0" ref="T594">
      <text>
        <t xml:space="preserve">Auxiliar para encontrar la primera cuota pendiente. El 999999 indica que esta cuota no tiene saldo pendiente o está fuera del plazo, y no es una fecha real.</t>
      </text>
    </comment>
    <comment authorId="0" ref="E66">
      <text>
        <t xml:space="preserve">Fecha según EDATE a partir del primer vencimiento. No ajusta automáticamente feriados.</t>
      </text>
    </comment>
    <comment authorId="0" ref="F66">
      <text>
        <t xml:space="preserve">Capital al inicio del período en el calendario ORIGINAL, sin recalcular por pagos reales.</t>
      </text>
    </comment>
    <comment authorId="0" ref="G66">
      <text>
        <t xml:space="preserve">Tasa efectiva del mes según la base ingresada.</t>
      </text>
    </comment>
    <comment authorId="0" ref="H66">
      <text>
        <t xml:space="preserve">Interés del período = capital inicial × tasa mensual, redondeado a dos decimales.</t>
      </text>
    </comment>
    <comment authorId="0" ref="I66">
      <text>
        <t xml:space="preserve">Capital e interés pactados. La última cuota ajusta el saldo por redondeo.</t>
      </text>
    </comment>
    <comment authorId="0" ref="J66">
      <text>
        <t xml:space="preserve">Capital amortizado TEÓRICO = cuota base − interés, limitado al saldo.</t>
      </text>
    </comment>
    <comment authorId="0" ref="K66">
      <text>
        <t xml:space="preserve">Seguro y otros cargos fijos del mes.</t>
      </text>
    </comment>
    <comment authorId="0" ref="L66">
      <text>
        <t xml:space="preserve">Cuota base + cargos.</t>
      </text>
    </comment>
    <comment authorId="0" ref="M66">
      <text>
        <t xml:space="preserve">Capital final del calendario teórico. No equivale al saldo real si hay pagos parciales o atrasos.</t>
      </text>
    </comment>
    <comment authorId="0" ref="N66">
      <text>
        <t xml:space="preserve">Suma de pagos válidos del mismo ID y cuota con fecha igual o anterior al corte.</t>
      </text>
    </comment>
    <comment authorId="0" ref="O66">
      <text>
        <t xml:space="preserve">MIN(amortización pactada; MAX(0; pagado − cargos − interés)). No imputa excedentes a otras cuotas.</t>
      </text>
    </comment>
    <comment authorId="0" ref="P66">
      <text>
        <t xml:space="preserve">MAX(0; total pactado − pagado a esta cuota). Incluye capital, interés y cargos pendientes de ESA cuota.</t>
      </text>
    </comment>
    <comment authorId="0" ref="Q66">
      <text>
        <t xml:space="preserve">Días desde vencimiento hasta corte, solo si venció antes del corte y sigue con saldo.</t>
      </text>
    </comment>
    <comment authorId="0" ref="R66">
      <text>
        <t xml:space="preserve">MAX(0; pagado − cuota pactada). Exceso para revisar: no se traspasa a otra cuota.</t>
      </text>
    </comment>
    <comment authorId="0" ref="C595">
      <text>
        <t xml:space="preserve">Crédito al que corresponde esta cuota.</t>
      </text>
    </comment>
    <comment authorId="0" ref="S66">
      <text>
        <t xml:space="preserve">Pagada, Vencida, Vence hoy, Por vencer o Exceso sin imputar según fecha y saldo al corte.</t>
      </text>
    </comment>
    <comment authorId="0" ref="D595">
      <text>
        <t xml:space="preserve">Número de cuota dentro del crédito.</t>
      </text>
    </comment>
    <comment authorId="0" ref="T66">
      <text>
        <t xml:space="preserve">Auxiliar para encontrar la primera cuota pendiente. El 999999 indica que esta cuota no tiene saldo pendiente o está fuera del plazo, y no es una fecha real.</t>
      </text>
    </comment>
    <comment authorId="0" ref="E595">
      <text>
        <t xml:space="preserve">Fecha según EDATE a partir del primer vencimiento. No ajusta automáticamente feriados.</t>
      </text>
    </comment>
    <comment authorId="0" ref="F595">
      <text>
        <t xml:space="preserve">Capital al inicio del período en el calendario ORIGINAL, sin recalcular por pagos reales.</t>
      </text>
    </comment>
    <comment authorId="0" ref="G595">
      <text>
        <t xml:space="preserve">Tasa efectiva del mes según la base ingresada.</t>
      </text>
    </comment>
    <comment authorId="0" ref="H595">
      <text>
        <t xml:space="preserve">Interés del período = capital inicial × tasa mensual, redondeado a dos decimales.</t>
      </text>
    </comment>
    <comment authorId="0" ref="I595">
      <text>
        <t xml:space="preserve">Capital e interés pactados. La última cuota ajusta el saldo por redondeo.</t>
      </text>
    </comment>
    <comment authorId="0" ref="J595">
      <text>
        <t xml:space="preserve">Capital amortizado TEÓRICO = cuota base − interés, limitado al saldo.</t>
      </text>
    </comment>
    <comment authorId="0" ref="K595">
      <text>
        <t xml:space="preserve">Seguro y otros cargos fijos del mes.</t>
      </text>
    </comment>
    <comment authorId="0" ref="L595">
      <text>
        <t xml:space="preserve">Cuota base + cargos.</t>
      </text>
    </comment>
    <comment authorId="0" ref="M595">
      <text>
        <t xml:space="preserve">Capital final del calendario teórico. No equivale al saldo real si hay pagos parciales o atrasos.</t>
      </text>
    </comment>
    <comment authorId="0" ref="N595">
      <text>
        <t xml:space="preserve">Suma de pagos válidos del mismo ID y cuota con fecha igual o anterior al corte.</t>
      </text>
    </comment>
    <comment authorId="0" ref="O595">
      <text>
        <t xml:space="preserve">MIN(amortización pactada; MAX(0; pagado − cargos − interés)). No imputa excedentes a otras cuotas.</t>
      </text>
    </comment>
    <comment authorId="0" ref="P595">
      <text>
        <t xml:space="preserve">MAX(0; total pactado − pagado a esta cuota). Incluye capital, interés y cargos pendientes de ESA cuota.</t>
      </text>
    </comment>
    <comment authorId="0" ref="Q595">
      <text>
        <t xml:space="preserve">Días desde vencimiento hasta corte, solo si venció antes del corte y sigue con saldo.</t>
      </text>
    </comment>
    <comment authorId="0" ref="R595">
      <text>
        <t xml:space="preserve">MAX(0; pagado − cuota pactada). Exceso para revisar: no se traspasa a otra cuota.</t>
      </text>
    </comment>
    <comment authorId="0" ref="C67">
      <text>
        <t xml:space="preserve">Crédito al que corresponde esta cuota.</t>
      </text>
    </comment>
    <comment authorId="0" ref="S595">
      <text>
        <t xml:space="preserve">Pagada, Vencida, Vence hoy, Por vencer o Exceso sin imputar según fecha y saldo al corte.</t>
      </text>
    </comment>
    <comment authorId="0" ref="D67">
      <text>
        <t xml:space="preserve">Número de cuota dentro del crédito.</t>
      </text>
    </comment>
    <comment authorId="0" ref="T595">
      <text>
        <t xml:space="preserve">Auxiliar para encontrar la primera cuota pendiente. El 999999 indica que esta cuota no tiene saldo pendiente o está fuera del plazo, y no es una fecha real.</t>
      </text>
    </comment>
    <comment authorId="0" ref="E67">
      <text>
        <t xml:space="preserve">Fecha según EDATE a partir del primer vencimiento. No ajusta automáticamente feriados.</t>
      </text>
    </comment>
    <comment authorId="0" ref="F67">
      <text>
        <t xml:space="preserve">Capital al inicio del período en el calendario ORIGINAL, sin recalcular por pagos reales.</t>
      </text>
    </comment>
    <comment authorId="0" ref="G67">
      <text>
        <t xml:space="preserve">Tasa efectiva del mes según la base ingresada.</t>
      </text>
    </comment>
    <comment authorId="0" ref="H67">
      <text>
        <t xml:space="preserve">Interés del período = capital inicial × tasa mensual, redondeado a dos decimales.</t>
      </text>
    </comment>
    <comment authorId="0" ref="I67">
      <text>
        <t xml:space="preserve">Capital e interés pactados. La última cuota ajusta el saldo por redondeo.</t>
      </text>
    </comment>
    <comment authorId="0" ref="J67">
      <text>
        <t xml:space="preserve">Capital amortizado TEÓRICO = cuota base − interés, limitado al saldo.</t>
      </text>
    </comment>
    <comment authorId="0" ref="K67">
      <text>
        <t xml:space="preserve">Seguro y otros cargos fijos del mes.</t>
      </text>
    </comment>
    <comment authorId="0" ref="L67">
      <text>
        <t xml:space="preserve">Cuota base + cargos.</t>
      </text>
    </comment>
    <comment authorId="0" ref="M67">
      <text>
        <t xml:space="preserve">Capital final del calendario teórico. No equivale al saldo real si hay pagos parciales o atrasos.</t>
      </text>
    </comment>
    <comment authorId="0" ref="N67">
      <text>
        <t xml:space="preserve">Suma de pagos válidos del mismo ID y cuota con fecha igual o anterior al corte.</t>
      </text>
    </comment>
    <comment authorId="0" ref="O67">
      <text>
        <t xml:space="preserve">MIN(amortización pactada; MAX(0; pagado − cargos − interés)). No imputa excedentes a otras cuotas.</t>
      </text>
    </comment>
    <comment authorId="0" ref="P67">
      <text>
        <t xml:space="preserve">MAX(0; total pactado − pagado a esta cuota). Incluye capital, interés y cargos pendientes de ESA cuota.</t>
      </text>
    </comment>
    <comment authorId="0" ref="Q67">
      <text>
        <t xml:space="preserve">Días desde vencimiento hasta corte, solo si venció antes del corte y sigue con saldo.</t>
      </text>
    </comment>
    <comment authorId="0" ref="R67">
      <text>
        <t xml:space="preserve">MAX(0; pagado − cuota pactada). Exceso para revisar: no se traspasa a otra cuota.</t>
      </text>
    </comment>
    <comment authorId="0" ref="C596">
      <text>
        <t xml:space="preserve">Crédito al que corresponde esta cuota.</t>
      </text>
    </comment>
    <comment authorId="0" ref="S67">
      <text>
        <t xml:space="preserve">Pagada, Vencida, Vence hoy, Por vencer o Exceso sin imputar según fecha y saldo al corte.</t>
      </text>
    </comment>
    <comment authorId="0" ref="D596">
      <text>
        <t xml:space="preserve">Número de cuota dentro del crédito.</t>
      </text>
    </comment>
    <comment authorId="0" ref="T67">
      <text>
        <t xml:space="preserve">Auxiliar para encontrar la primera cuota pendiente. El 999999 indica que esta cuota no tiene saldo pendiente o está fuera del plazo, y no es una fecha real.</t>
      </text>
    </comment>
    <comment authorId="0" ref="E596">
      <text>
        <t xml:space="preserve">Fecha según EDATE a partir del primer vencimiento. No ajusta automáticamente feriados.</t>
      </text>
    </comment>
    <comment authorId="0" ref="F596">
      <text>
        <t xml:space="preserve">Capital al inicio del período en el calendario ORIGINAL, sin recalcular por pagos reales.</t>
      </text>
    </comment>
    <comment authorId="0" ref="G596">
      <text>
        <t xml:space="preserve">Tasa efectiva del mes según la base ingresada.</t>
      </text>
    </comment>
    <comment authorId="0" ref="H596">
      <text>
        <t xml:space="preserve">Interés del período = capital inicial × tasa mensual, redondeado a dos decimales.</t>
      </text>
    </comment>
    <comment authorId="0" ref="I596">
      <text>
        <t xml:space="preserve">Capital e interés pactados. La última cuota ajusta el saldo por redondeo.</t>
      </text>
    </comment>
    <comment authorId="0" ref="J596">
      <text>
        <t xml:space="preserve">Capital amortizado TEÓRICO = cuota base − interés, limitado al saldo.</t>
      </text>
    </comment>
    <comment authorId="0" ref="K596">
      <text>
        <t xml:space="preserve">Seguro y otros cargos fijos del mes.</t>
      </text>
    </comment>
    <comment authorId="0" ref="L596">
      <text>
        <t xml:space="preserve">Cuota base + cargos.</t>
      </text>
    </comment>
    <comment authorId="0" ref="M596">
      <text>
        <t xml:space="preserve">Capital final del calendario teórico. No equivale al saldo real si hay pagos parciales o atrasos.</t>
      </text>
    </comment>
    <comment authorId="0" ref="N596">
      <text>
        <t xml:space="preserve">Suma de pagos válidos del mismo ID y cuota con fecha igual o anterior al corte.</t>
      </text>
    </comment>
    <comment authorId="0" ref="O596">
      <text>
        <t xml:space="preserve">MIN(amortización pactada; MAX(0; pagado − cargos − interés)). No imputa excedentes a otras cuotas.</t>
      </text>
    </comment>
    <comment authorId="0" ref="P596">
      <text>
        <t xml:space="preserve">MAX(0; total pactado − pagado a esta cuota). Incluye capital, interés y cargos pendientes de ESA cuota.</t>
      </text>
    </comment>
    <comment authorId="0" ref="Q596">
      <text>
        <t xml:space="preserve">Días desde vencimiento hasta corte, solo si venció antes del corte y sigue con saldo.</t>
      </text>
    </comment>
    <comment authorId="0" ref="R596">
      <text>
        <t xml:space="preserve">MAX(0; pagado − cuota pactada). Exceso para revisar: no se traspasa a otra cuota.</t>
      </text>
    </comment>
    <comment authorId="0" ref="C68">
      <text>
        <t xml:space="preserve">Crédito al que corresponde esta cuota.</t>
      </text>
    </comment>
    <comment authorId="0" ref="S596">
      <text>
        <t xml:space="preserve">Pagada, Vencida, Vence hoy, Por vencer o Exceso sin imputar según fecha y saldo al corte.</t>
      </text>
    </comment>
    <comment authorId="0" ref="D68">
      <text>
        <t xml:space="preserve">Número de cuota dentro del crédito.</t>
      </text>
    </comment>
    <comment authorId="0" ref="T596">
      <text>
        <t xml:space="preserve">Auxiliar para encontrar la primera cuota pendiente. El 999999 indica que esta cuota no tiene saldo pendiente o está fuera del plazo, y no es una fecha real.</t>
      </text>
    </comment>
    <comment authorId="0" ref="E68">
      <text>
        <t xml:space="preserve">Fecha según EDATE a partir del primer vencimiento. No ajusta automáticamente feriados.</t>
      </text>
    </comment>
    <comment authorId="0" ref="F68">
      <text>
        <t xml:space="preserve">Capital al inicio del período en el calendario ORIGINAL, sin recalcular por pagos reales.</t>
      </text>
    </comment>
    <comment authorId="0" ref="G68">
      <text>
        <t xml:space="preserve">Tasa efectiva del mes según la base ingresada.</t>
      </text>
    </comment>
    <comment authorId="0" ref="H68">
      <text>
        <t xml:space="preserve">Interés del período = capital inicial × tasa mensual, redondeado a dos decimales.</t>
      </text>
    </comment>
    <comment authorId="0" ref="I68">
      <text>
        <t xml:space="preserve">Capital e interés pactados. La última cuota ajusta el saldo por redondeo.</t>
      </text>
    </comment>
    <comment authorId="0" ref="J68">
      <text>
        <t xml:space="preserve">Capital amortizado TEÓRICO = cuota base − interés, limitado al saldo.</t>
      </text>
    </comment>
    <comment authorId="0" ref="K68">
      <text>
        <t xml:space="preserve">Seguro y otros cargos fijos del mes.</t>
      </text>
    </comment>
    <comment authorId="0" ref="L68">
      <text>
        <t xml:space="preserve">Cuota base + cargos.</t>
      </text>
    </comment>
    <comment authorId="0" ref="M68">
      <text>
        <t xml:space="preserve">Capital final del calendario teórico. No equivale al saldo real si hay pagos parciales o atrasos.</t>
      </text>
    </comment>
    <comment authorId="0" ref="N68">
      <text>
        <t xml:space="preserve">Suma de pagos válidos del mismo ID y cuota con fecha igual o anterior al corte.</t>
      </text>
    </comment>
    <comment authorId="0" ref="O68">
      <text>
        <t xml:space="preserve">MIN(amortización pactada; MAX(0; pagado − cargos − interés)). No imputa excedentes a otras cuotas.</t>
      </text>
    </comment>
    <comment authorId="0" ref="P68">
      <text>
        <t xml:space="preserve">MAX(0; total pactado − pagado a esta cuota). Incluye capital, interés y cargos pendientes de ESA cuota.</t>
      </text>
    </comment>
    <comment authorId="0" ref="Q68">
      <text>
        <t xml:space="preserve">Días desde vencimiento hasta corte, solo si venció antes del corte y sigue con saldo.</t>
      </text>
    </comment>
    <comment authorId="0" ref="R68">
      <text>
        <t xml:space="preserve">MAX(0; pagado − cuota pactada). Exceso para revisar: no se traspasa a otra cuota.</t>
      </text>
    </comment>
    <comment authorId="0" ref="C597">
      <text>
        <t xml:space="preserve">Crédito al que corresponde esta cuota.</t>
      </text>
    </comment>
    <comment authorId="0" ref="S68">
      <text>
        <t xml:space="preserve">Pagada, Vencida, Vence hoy, Por vencer o Exceso sin imputar según fecha y saldo al corte.</t>
      </text>
    </comment>
    <comment authorId="0" ref="D597">
      <text>
        <t xml:space="preserve">Número de cuota dentro del crédito.</t>
      </text>
    </comment>
    <comment authorId="0" ref="T68">
      <text>
        <t xml:space="preserve">Auxiliar para encontrar la primera cuota pendiente. El 999999 indica que esta cuota no tiene saldo pendiente o está fuera del plazo, y no es una fecha real.</t>
      </text>
    </comment>
    <comment authorId="0" ref="E597">
      <text>
        <t xml:space="preserve">Fecha según EDATE a partir del primer vencimiento. No ajusta automáticamente feriados.</t>
      </text>
    </comment>
    <comment authorId="0" ref="F597">
      <text>
        <t xml:space="preserve">Capital al inicio del período en el calendario ORIGINAL, sin recalcular por pagos reales.</t>
      </text>
    </comment>
    <comment authorId="0" ref="G597">
      <text>
        <t xml:space="preserve">Tasa efectiva del mes según la base ingresada.</t>
      </text>
    </comment>
    <comment authorId="0" ref="H597">
      <text>
        <t xml:space="preserve">Interés del período = capital inicial × tasa mensual, redondeado a dos decimales.</t>
      </text>
    </comment>
    <comment authorId="0" ref="I597">
      <text>
        <t xml:space="preserve">Capital e interés pactados. La última cuota ajusta el saldo por redondeo.</t>
      </text>
    </comment>
    <comment authorId="0" ref="J597">
      <text>
        <t xml:space="preserve">Capital amortizado TEÓRICO = cuota base − interés, limitado al saldo.</t>
      </text>
    </comment>
    <comment authorId="0" ref="K597">
      <text>
        <t xml:space="preserve">Seguro y otros cargos fijos del mes.</t>
      </text>
    </comment>
    <comment authorId="0" ref="L597">
      <text>
        <t xml:space="preserve">Cuota base + cargos.</t>
      </text>
    </comment>
    <comment authorId="0" ref="M597">
      <text>
        <t xml:space="preserve">Capital final del calendario teórico. No equivale al saldo real si hay pagos parciales o atrasos.</t>
      </text>
    </comment>
    <comment authorId="0" ref="N597">
      <text>
        <t xml:space="preserve">Suma de pagos válidos del mismo ID y cuota con fecha igual o anterior al corte.</t>
      </text>
    </comment>
    <comment authorId="0" ref="O597">
      <text>
        <t xml:space="preserve">MIN(amortización pactada; MAX(0; pagado − cargos − interés)). No imputa excedentes a otras cuotas.</t>
      </text>
    </comment>
    <comment authorId="0" ref="P597">
      <text>
        <t xml:space="preserve">MAX(0; total pactado − pagado a esta cuota). Incluye capital, interés y cargos pendientes de ESA cuota.</t>
      </text>
    </comment>
    <comment authorId="0" ref="Q597">
      <text>
        <t xml:space="preserve">Días desde vencimiento hasta corte, solo si venció antes del corte y sigue con saldo.</t>
      </text>
    </comment>
    <comment authorId="0" ref="R597">
      <text>
        <t xml:space="preserve">MAX(0; pagado − cuota pactada). Exceso para revisar: no se traspasa a otra cuota.</t>
      </text>
    </comment>
    <comment authorId="0" ref="C69">
      <text>
        <t xml:space="preserve">Crédito al que corresponde esta cuota.</t>
      </text>
    </comment>
    <comment authorId="0" ref="S597">
      <text>
        <t xml:space="preserve">Pagada, Vencida, Vence hoy, Por vencer o Exceso sin imputar según fecha y saldo al corte.</t>
      </text>
    </comment>
    <comment authorId="0" ref="D69">
      <text>
        <t xml:space="preserve">Número de cuota dentro del crédito.</t>
      </text>
    </comment>
    <comment authorId="0" ref="T597">
      <text>
        <t xml:space="preserve">Auxiliar para encontrar la primera cuota pendiente. El 999999 indica que esta cuota no tiene saldo pendiente o está fuera del plazo, y no es una fecha real.</t>
      </text>
    </comment>
    <comment authorId="0" ref="E69">
      <text>
        <t xml:space="preserve">Fecha según EDATE a partir del primer vencimiento. No ajusta automáticamente feriados.</t>
      </text>
    </comment>
    <comment authorId="0" ref="F69">
      <text>
        <t xml:space="preserve">Capital al inicio del período en el calendario ORIGINAL, sin recalcular por pagos reales.</t>
      </text>
    </comment>
    <comment authorId="0" ref="G69">
      <text>
        <t xml:space="preserve">Tasa efectiva del mes según la base ingresada.</t>
      </text>
    </comment>
    <comment authorId="0" ref="H69">
      <text>
        <t xml:space="preserve">Interés del período = capital inicial × tasa mensual, redondeado a dos decimales.</t>
      </text>
    </comment>
    <comment authorId="0" ref="I69">
      <text>
        <t xml:space="preserve">Capital e interés pactados. La última cuota ajusta el saldo por redondeo.</t>
      </text>
    </comment>
    <comment authorId="0" ref="J69">
      <text>
        <t xml:space="preserve">Capital amortizado TEÓRICO = cuota base − interés, limitado al saldo.</t>
      </text>
    </comment>
    <comment authorId="0" ref="K69">
      <text>
        <t xml:space="preserve">Seguro y otros cargos fijos del mes.</t>
      </text>
    </comment>
    <comment authorId="0" ref="L69">
      <text>
        <t xml:space="preserve">Cuota base + cargos.</t>
      </text>
    </comment>
    <comment authorId="0" ref="M69">
      <text>
        <t xml:space="preserve">Capital final del calendario teórico. No equivale al saldo real si hay pagos parciales o atrasos.</t>
      </text>
    </comment>
    <comment authorId="0" ref="N69">
      <text>
        <t xml:space="preserve">Suma de pagos válidos del mismo ID y cuota con fecha igual o anterior al corte.</t>
      </text>
    </comment>
    <comment authorId="0" ref="O69">
      <text>
        <t xml:space="preserve">MIN(amortización pactada; MAX(0; pagado − cargos − interés)). No imputa excedentes a otras cuotas.</t>
      </text>
    </comment>
    <comment authorId="0" ref="P69">
      <text>
        <t xml:space="preserve">MAX(0; total pactado − pagado a esta cuota). Incluye capital, interés y cargos pendientes de ESA cuota.</t>
      </text>
    </comment>
    <comment authorId="0" ref="Q69">
      <text>
        <t xml:space="preserve">Días desde vencimiento hasta corte, solo si venció antes del corte y sigue con saldo.</t>
      </text>
    </comment>
    <comment authorId="0" ref="R69">
      <text>
        <t xml:space="preserve">MAX(0; pagado − cuota pactada). Exceso para revisar: no se traspasa a otra cuota.</t>
      </text>
    </comment>
    <comment authorId="0" ref="C598">
      <text>
        <t xml:space="preserve">Crédito al que corresponde esta cuota.</t>
      </text>
    </comment>
    <comment authorId="0" ref="S69">
      <text>
        <t xml:space="preserve">Pagada, Vencida, Vence hoy, Por vencer o Exceso sin imputar según fecha y saldo al corte.</t>
      </text>
    </comment>
    <comment authorId="0" ref="D598">
      <text>
        <t xml:space="preserve">Número de cuota dentro del crédito.</t>
      </text>
    </comment>
    <comment authorId="0" ref="T69">
      <text>
        <t xml:space="preserve">Auxiliar para encontrar la primera cuota pendiente. El 999999 indica que esta cuota no tiene saldo pendiente o está fuera del plazo, y no es una fecha real.</t>
      </text>
    </comment>
    <comment authorId="0" ref="E598">
      <text>
        <t xml:space="preserve">Fecha según EDATE a partir del primer vencimiento. No ajusta automáticamente feriados.</t>
      </text>
    </comment>
    <comment authorId="0" ref="F598">
      <text>
        <t xml:space="preserve">Capital al inicio del período en el calendario ORIGINAL, sin recalcular por pagos reales.</t>
      </text>
    </comment>
    <comment authorId="0" ref="G598">
      <text>
        <t xml:space="preserve">Tasa efectiva del mes según la base ingresada.</t>
      </text>
    </comment>
    <comment authorId="0" ref="H598">
      <text>
        <t xml:space="preserve">Interés del período = capital inicial × tasa mensual, redondeado a dos decimales.</t>
      </text>
    </comment>
    <comment authorId="0" ref="I598">
      <text>
        <t xml:space="preserve">Capital e interés pactados. La última cuota ajusta el saldo por redondeo.</t>
      </text>
    </comment>
    <comment authorId="0" ref="J598">
      <text>
        <t xml:space="preserve">Capital amortizado TEÓRICO = cuota base − interés, limitado al saldo.</t>
      </text>
    </comment>
    <comment authorId="0" ref="K598">
      <text>
        <t xml:space="preserve">Seguro y otros cargos fijos del mes.</t>
      </text>
    </comment>
    <comment authorId="0" ref="L598">
      <text>
        <t xml:space="preserve">Cuota base + cargos.</t>
      </text>
    </comment>
    <comment authorId="0" ref="M598">
      <text>
        <t xml:space="preserve">Capital final del calendario teórico. No equivale al saldo real si hay pagos parciales o atrasos.</t>
      </text>
    </comment>
    <comment authorId="0" ref="N598">
      <text>
        <t xml:space="preserve">Suma de pagos válidos del mismo ID y cuota con fecha igual o anterior al corte.</t>
      </text>
    </comment>
    <comment authorId="0" ref="O598">
      <text>
        <t xml:space="preserve">MIN(amortización pactada; MAX(0; pagado − cargos − interés)). No imputa excedentes a otras cuotas.</t>
      </text>
    </comment>
    <comment authorId="0" ref="P598">
      <text>
        <t xml:space="preserve">MAX(0; total pactado − pagado a esta cuota). Incluye capital, interés y cargos pendientes de ESA cuota.</t>
      </text>
    </comment>
    <comment authorId="0" ref="Q598">
      <text>
        <t xml:space="preserve">Días desde vencimiento hasta corte, solo si venció antes del corte y sigue con saldo.</t>
      </text>
    </comment>
    <comment authorId="0" ref="R598">
      <text>
        <t xml:space="preserve">MAX(0; pagado − cuota pactada). Exceso para revisar: no se traspasa a otra cuota.</t>
      </text>
    </comment>
    <comment authorId="0" ref="C70">
      <text>
        <t xml:space="preserve">Crédito al que corresponde esta cuota.</t>
      </text>
    </comment>
    <comment authorId="0" ref="S598">
      <text>
        <t xml:space="preserve">Pagada, Vencida, Vence hoy, Por vencer o Exceso sin imputar según fecha y saldo al corte.</t>
      </text>
    </comment>
    <comment authorId="0" ref="D70">
      <text>
        <t xml:space="preserve">Número de cuota dentro del crédito.</t>
      </text>
    </comment>
    <comment authorId="0" ref="T598">
      <text>
        <t xml:space="preserve">Auxiliar para encontrar la primera cuota pendiente. El 999999 indica que esta cuota no tiene saldo pendiente o está fuera del plazo, y no es una fecha real.</t>
      </text>
    </comment>
    <comment authorId="0" ref="E70">
      <text>
        <t xml:space="preserve">Fecha según EDATE a partir del primer vencimiento. No ajusta automáticamente feriados.</t>
      </text>
    </comment>
    <comment authorId="0" ref="F70">
      <text>
        <t xml:space="preserve">Capital al inicio del período en el calendario ORIGINAL, sin recalcular por pagos reales.</t>
      </text>
    </comment>
    <comment authorId="0" ref="G70">
      <text>
        <t xml:space="preserve">Tasa efectiva del mes según la base ingresada.</t>
      </text>
    </comment>
    <comment authorId="0" ref="H70">
      <text>
        <t xml:space="preserve">Interés del período = capital inicial × tasa mensual, redondeado a dos decimales.</t>
      </text>
    </comment>
    <comment authorId="0" ref="I70">
      <text>
        <t xml:space="preserve">Capital e interés pactados. La última cuota ajusta el saldo por redondeo.</t>
      </text>
    </comment>
    <comment authorId="0" ref="J70">
      <text>
        <t xml:space="preserve">Capital amortizado TEÓRICO = cuota base − interés, limitado al saldo.</t>
      </text>
    </comment>
    <comment authorId="0" ref="K70">
      <text>
        <t xml:space="preserve">Seguro y otros cargos fijos del mes.</t>
      </text>
    </comment>
    <comment authorId="0" ref="L70">
      <text>
        <t xml:space="preserve">Cuota base + cargos.</t>
      </text>
    </comment>
    <comment authorId="0" ref="M70">
      <text>
        <t xml:space="preserve">Capital final del calendario teórico. No equivale al saldo real si hay pagos parciales o atrasos.</t>
      </text>
    </comment>
    <comment authorId="0" ref="N70">
      <text>
        <t xml:space="preserve">Suma de pagos válidos del mismo ID y cuota con fecha igual o anterior al corte.</t>
      </text>
    </comment>
    <comment authorId="0" ref="O70">
      <text>
        <t xml:space="preserve">MIN(amortización pactada; MAX(0; pagado − cargos − interés)). No imputa excedentes a otras cuotas.</t>
      </text>
    </comment>
    <comment authorId="0" ref="P70">
      <text>
        <t xml:space="preserve">MAX(0; total pactado − pagado a esta cuota). Incluye capital, interés y cargos pendientes de ESA cuota.</t>
      </text>
    </comment>
    <comment authorId="0" ref="Q70">
      <text>
        <t xml:space="preserve">Días desde vencimiento hasta corte, solo si venció antes del corte y sigue con saldo.</t>
      </text>
    </comment>
    <comment authorId="0" ref="R70">
      <text>
        <t xml:space="preserve">MAX(0; pagado − cuota pactada). Exceso para revisar: no se traspasa a otra cuota.</t>
      </text>
    </comment>
    <comment authorId="0" ref="C599">
      <text>
        <t xml:space="preserve">Crédito al que corresponde esta cuota.</t>
      </text>
    </comment>
    <comment authorId="0" ref="S70">
      <text>
        <t xml:space="preserve">Pagada, Vencida, Vence hoy, Por vencer o Exceso sin imputar según fecha y saldo al corte.</t>
      </text>
    </comment>
    <comment authorId="0" ref="D599">
      <text>
        <t xml:space="preserve">Número de cuota dentro del crédito.</t>
      </text>
    </comment>
    <comment authorId="0" ref="T70">
      <text>
        <t xml:space="preserve">Auxiliar para encontrar la primera cuota pendiente. El 999999 indica que esta cuota no tiene saldo pendiente o está fuera del plazo, y no es una fecha real.</t>
      </text>
    </comment>
    <comment authorId="0" ref="E599">
      <text>
        <t xml:space="preserve">Fecha según EDATE a partir del primer vencimiento. No ajusta automáticamente feriados.</t>
      </text>
    </comment>
    <comment authorId="0" ref="F599">
      <text>
        <t xml:space="preserve">Capital al inicio del período en el calendario ORIGINAL, sin recalcular por pagos reales.</t>
      </text>
    </comment>
    <comment authorId="0" ref="G599">
      <text>
        <t xml:space="preserve">Tasa efectiva del mes según la base ingresada.</t>
      </text>
    </comment>
    <comment authorId="0" ref="H599">
      <text>
        <t xml:space="preserve">Interés del período = capital inicial × tasa mensual, redondeado a dos decimales.</t>
      </text>
    </comment>
    <comment authorId="0" ref="I599">
      <text>
        <t xml:space="preserve">Capital e interés pactados. La última cuota ajusta el saldo por redondeo.</t>
      </text>
    </comment>
    <comment authorId="0" ref="J599">
      <text>
        <t xml:space="preserve">Capital amortizado TEÓRICO = cuota base − interés, limitado al saldo.</t>
      </text>
    </comment>
    <comment authorId="0" ref="K599">
      <text>
        <t xml:space="preserve">Seguro y otros cargos fijos del mes.</t>
      </text>
    </comment>
    <comment authorId="0" ref="L599">
      <text>
        <t xml:space="preserve">Cuota base + cargos.</t>
      </text>
    </comment>
    <comment authorId="0" ref="M599">
      <text>
        <t xml:space="preserve">Capital final del calendario teórico. No equivale al saldo real si hay pagos parciales o atrasos.</t>
      </text>
    </comment>
    <comment authorId="0" ref="N599">
      <text>
        <t xml:space="preserve">Suma de pagos válidos del mismo ID y cuota con fecha igual o anterior al corte.</t>
      </text>
    </comment>
    <comment authorId="0" ref="O599">
      <text>
        <t xml:space="preserve">MIN(amortización pactada; MAX(0; pagado − cargos − interés)). No imputa excedentes a otras cuotas.</t>
      </text>
    </comment>
    <comment authorId="0" ref="P599">
      <text>
        <t xml:space="preserve">MAX(0; total pactado − pagado a esta cuota). Incluye capital, interés y cargos pendientes de ESA cuota.</t>
      </text>
    </comment>
    <comment authorId="0" ref="Q599">
      <text>
        <t xml:space="preserve">Días desde vencimiento hasta corte, solo si venció antes del corte y sigue con saldo.</t>
      </text>
    </comment>
    <comment authorId="0" ref="R599">
      <text>
        <t xml:space="preserve">MAX(0; pagado − cuota pactada). Exceso para revisar: no se traspasa a otra cuota.</t>
      </text>
    </comment>
    <comment authorId="0" ref="C71">
      <text>
        <t xml:space="preserve">Crédito al que corresponde esta cuota.</t>
      </text>
    </comment>
    <comment authorId="0" ref="S599">
      <text>
        <t xml:space="preserve">Pagada, Vencida, Vence hoy, Por vencer o Exceso sin imputar según fecha y saldo al corte.</t>
      </text>
    </comment>
    <comment authorId="0" ref="D71">
      <text>
        <t xml:space="preserve">Número de cuota dentro del crédito.</t>
      </text>
    </comment>
    <comment authorId="0" ref="T599">
      <text>
        <t xml:space="preserve">Auxiliar para encontrar la primera cuota pendiente. El 999999 indica que esta cuota no tiene saldo pendiente o está fuera del plazo, y no es una fecha real.</t>
      </text>
    </comment>
    <comment authorId="0" ref="E71">
      <text>
        <t xml:space="preserve">Fecha según EDATE a partir del primer vencimiento. No ajusta automáticamente feriados.</t>
      </text>
    </comment>
    <comment authorId="0" ref="F71">
      <text>
        <t xml:space="preserve">Capital al inicio del período en el calendario ORIGINAL, sin recalcular por pagos reales.</t>
      </text>
    </comment>
    <comment authorId="0" ref="G71">
      <text>
        <t xml:space="preserve">Tasa efectiva del mes según la base ingresada.</t>
      </text>
    </comment>
    <comment authorId="0" ref="H71">
      <text>
        <t xml:space="preserve">Interés del período = capital inicial × tasa mensual, redondeado a dos decimales.</t>
      </text>
    </comment>
    <comment authorId="0" ref="I71">
      <text>
        <t xml:space="preserve">Capital e interés pactados. La última cuota ajusta el saldo por redondeo.</t>
      </text>
    </comment>
    <comment authorId="0" ref="J71">
      <text>
        <t xml:space="preserve">Capital amortizado TEÓRICO = cuota base − interés, limitado al saldo.</t>
      </text>
    </comment>
    <comment authorId="0" ref="K71">
      <text>
        <t xml:space="preserve">Seguro y otros cargos fijos del mes.</t>
      </text>
    </comment>
    <comment authorId="0" ref="L71">
      <text>
        <t xml:space="preserve">Cuota base + cargos.</t>
      </text>
    </comment>
    <comment authorId="0" ref="M71">
      <text>
        <t xml:space="preserve">Capital final del calendario teórico. No equivale al saldo real si hay pagos parciales o atrasos.</t>
      </text>
    </comment>
    <comment authorId="0" ref="N71">
      <text>
        <t xml:space="preserve">Suma de pagos válidos del mismo ID y cuota con fecha igual o anterior al corte.</t>
      </text>
    </comment>
    <comment authorId="0" ref="O71">
      <text>
        <t xml:space="preserve">MIN(amortización pactada; MAX(0; pagado − cargos − interés)). No imputa excedentes a otras cuotas.</t>
      </text>
    </comment>
    <comment authorId="0" ref="P71">
      <text>
        <t xml:space="preserve">MAX(0; total pactado − pagado a esta cuota). Incluye capital, interés y cargos pendientes de ESA cuota.</t>
      </text>
    </comment>
    <comment authorId="0" ref="Q71">
      <text>
        <t xml:space="preserve">Días desde vencimiento hasta corte, solo si venció antes del corte y sigue con saldo.</t>
      </text>
    </comment>
    <comment authorId="0" ref="R71">
      <text>
        <t xml:space="preserve">MAX(0; pagado − cuota pactada). Exceso para revisar: no se traspasa a otra cuota.</t>
      </text>
    </comment>
    <comment authorId="0" ref="C600">
      <text>
        <t xml:space="preserve">Crédito al que corresponde esta cuota.</t>
      </text>
    </comment>
    <comment authorId="0" ref="S71">
      <text>
        <t xml:space="preserve">Pagada, Vencida, Vence hoy, Por vencer o Exceso sin imputar según fecha y saldo al corte.</t>
      </text>
    </comment>
    <comment authorId="0" ref="D600">
      <text>
        <t xml:space="preserve">Número de cuota dentro del crédito.</t>
      </text>
    </comment>
    <comment authorId="0" ref="T71">
      <text>
        <t xml:space="preserve">Auxiliar para encontrar la primera cuota pendiente. El 999999 indica que esta cuota no tiene saldo pendiente o está fuera del plazo, y no es una fecha real.</t>
      </text>
    </comment>
    <comment authorId="0" ref="E600">
      <text>
        <t xml:space="preserve">Fecha según EDATE a partir del primer vencimiento. No ajusta automáticamente feriados.</t>
      </text>
    </comment>
    <comment authorId="0" ref="F600">
      <text>
        <t xml:space="preserve">Capital al inicio del período en el calendario ORIGINAL, sin recalcular por pagos reales.</t>
      </text>
    </comment>
    <comment authorId="0" ref="G600">
      <text>
        <t xml:space="preserve">Tasa efectiva del mes según la base ingresada.</t>
      </text>
    </comment>
    <comment authorId="0" ref="H600">
      <text>
        <t xml:space="preserve">Interés del período = capital inicial × tasa mensual, redondeado a dos decimales.</t>
      </text>
    </comment>
    <comment authorId="0" ref="I600">
      <text>
        <t xml:space="preserve">Capital e interés pactados. La última cuota ajusta el saldo por redondeo.</t>
      </text>
    </comment>
    <comment authorId="0" ref="J600">
      <text>
        <t xml:space="preserve">Capital amortizado TEÓRICO = cuota base − interés, limitado al saldo.</t>
      </text>
    </comment>
    <comment authorId="0" ref="K600">
      <text>
        <t xml:space="preserve">Seguro y otros cargos fijos del mes.</t>
      </text>
    </comment>
    <comment authorId="0" ref="L600">
      <text>
        <t xml:space="preserve">Cuota base + cargos.</t>
      </text>
    </comment>
    <comment authorId="0" ref="M600">
      <text>
        <t xml:space="preserve">Capital final del calendario teórico. No equivale al saldo real si hay pagos parciales o atrasos.</t>
      </text>
    </comment>
    <comment authorId="0" ref="N600">
      <text>
        <t xml:space="preserve">Suma de pagos válidos del mismo ID y cuota con fecha igual o anterior al corte.</t>
      </text>
    </comment>
    <comment authorId="0" ref="O600">
      <text>
        <t xml:space="preserve">MIN(amortización pactada; MAX(0; pagado − cargos − interés)). No imputa excedentes a otras cuotas.</t>
      </text>
    </comment>
    <comment authorId="0" ref="P600">
      <text>
        <t xml:space="preserve">MAX(0; total pactado − pagado a esta cuota). Incluye capital, interés y cargos pendientes de ESA cuota.</t>
      </text>
    </comment>
    <comment authorId="0" ref="Q600">
      <text>
        <t xml:space="preserve">Días desde vencimiento hasta corte, solo si venció antes del corte y sigue con saldo.</t>
      </text>
    </comment>
    <comment authorId="0" ref="R600">
      <text>
        <t xml:space="preserve">MAX(0; pagado − cuota pactada). Exceso para revisar: no se traspasa a otra cuota.</t>
      </text>
    </comment>
    <comment authorId="0" ref="C72">
      <text>
        <t xml:space="preserve">Crédito al que corresponde esta cuota.</t>
      </text>
    </comment>
    <comment authorId="0" ref="S600">
      <text>
        <t xml:space="preserve">Pagada, Vencida, Vence hoy, Por vencer o Exceso sin imputar según fecha y saldo al corte.</t>
      </text>
    </comment>
    <comment authorId="0" ref="D72">
      <text>
        <t xml:space="preserve">Número de cuota dentro del crédito.</t>
      </text>
    </comment>
    <comment authorId="0" ref="T600">
      <text>
        <t xml:space="preserve">Auxiliar para encontrar la primera cuota pendiente. El 999999 indica que esta cuota no tiene saldo pendiente o está fuera del plazo, y no es una fecha real.</t>
      </text>
    </comment>
    <comment authorId="0" ref="E72">
      <text>
        <t xml:space="preserve">Fecha según EDATE a partir del primer vencimiento. No ajusta automáticamente feriados.</t>
      </text>
    </comment>
    <comment authorId="0" ref="F72">
      <text>
        <t xml:space="preserve">Capital al inicio del período en el calendario ORIGINAL, sin recalcular por pagos reales.</t>
      </text>
    </comment>
    <comment authorId="0" ref="G72">
      <text>
        <t xml:space="preserve">Tasa efectiva del mes según la base ingresada.</t>
      </text>
    </comment>
    <comment authorId="0" ref="H72">
      <text>
        <t xml:space="preserve">Interés del período = capital inicial × tasa mensual, redondeado a dos decimales.</t>
      </text>
    </comment>
    <comment authorId="0" ref="I72">
      <text>
        <t xml:space="preserve">Capital e interés pactados. La última cuota ajusta el saldo por redondeo.</t>
      </text>
    </comment>
    <comment authorId="0" ref="J72">
      <text>
        <t xml:space="preserve">Capital amortizado TEÓRICO = cuota base − interés, limitado al saldo.</t>
      </text>
    </comment>
    <comment authorId="0" ref="K72">
      <text>
        <t xml:space="preserve">Seguro y otros cargos fijos del mes.</t>
      </text>
    </comment>
    <comment authorId="0" ref="L72">
      <text>
        <t xml:space="preserve">Cuota base + cargos.</t>
      </text>
    </comment>
    <comment authorId="0" ref="M72">
      <text>
        <t xml:space="preserve">Capital final del calendario teórico. No equivale al saldo real si hay pagos parciales o atrasos.</t>
      </text>
    </comment>
    <comment authorId="0" ref="N72">
      <text>
        <t xml:space="preserve">Suma de pagos válidos del mismo ID y cuota con fecha igual o anterior al corte.</t>
      </text>
    </comment>
    <comment authorId="0" ref="O72">
      <text>
        <t xml:space="preserve">MIN(amortización pactada; MAX(0; pagado − cargos − interés)). No imputa excedentes a otras cuotas.</t>
      </text>
    </comment>
    <comment authorId="0" ref="P72">
      <text>
        <t xml:space="preserve">MAX(0; total pactado − pagado a esta cuota). Incluye capital, interés y cargos pendientes de ESA cuota.</t>
      </text>
    </comment>
    <comment authorId="0" ref="Q72">
      <text>
        <t xml:space="preserve">Días desde vencimiento hasta corte, solo si venció antes del corte y sigue con saldo.</t>
      </text>
    </comment>
    <comment authorId="0" ref="R72">
      <text>
        <t xml:space="preserve">MAX(0; pagado − cuota pactada). Exceso para revisar: no se traspasa a otra cuota.</t>
      </text>
    </comment>
    <comment authorId="0" ref="C601">
      <text>
        <t xml:space="preserve">Crédito al que corresponde esta cuota.</t>
      </text>
    </comment>
    <comment authorId="0" ref="S72">
      <text>
        <t xml:space="preserve">Pagada, Vencida, Vence hoy, Por vencer o Exceso sin imputar según fecha y saldo al corte.</t>
      </text>
    </comment>
    <comment authorId="0" ref="D601">
      <text>
        <t xml:space="preserve">Número de cuota dentro del crédito.</t>
      </text>
    </comment>
    <comment authorId="0" ref="T72">
      <text>
        <t xml:space="preserve">Auxiliar para encontrar la primera cuota pendiente. El 999999 indica que esta cuota no tiene saldo pendiente o está fuera del plazo, y no es una fecha real.</t>
      </text>
    </comment>
    <comment authorId="0" ref="E601">
      <text>
        <t xml:space="preserve">Fecha según EDATE a partir del primer vencimiento. No ajusta automáticamente feriados.</t>
      </text>
    </comment>
    <comment authorId="0" ref="F601">
      <text>
        <t xml:space="preserve">Capital al inicio del período en el calendario ORIGINAL, sin recalcular por pagos reales.</t>
      </text>
    </comment>
    <comment authorId="0" ref="G601">
      <text>
        <t xml:space="preserve">Tasa efectiva del mes según la base ingresada.</t>
      </text>
    </comment>
    <comment authorId="0" ref="H601">
      <text>
        <t xml:space="preserve">Interés del período = capital inicial × tasa mensual, redondeado a dos decimales.</t>
      </text>
    </comment>
    <comment authorId="0" ref="I601">
      <text>
        <t xml:space="preserve">Capital e interés pactados. La última cuota ajusta el saldo por redondeo.</t>
      </text>
    </comment>
    <comment authorId="0" ref="J601">
      <text>
        <t xml:space="preserve">Capital amortizado TEÓRICO = cuota base − interés, limitado al saldo.</t>
      </text>
    </comment>
    <comment authorId="0" ref="K601">
      <text>
        <t xml:space="preserve">Seguro y otros cargos fijos del mes.</t>
      </text>
    </comment>
    <comment authorId="0" ref="L601">
      <text>
        <t xml:space="preserve">Cuota base + cargos.</t>
      </text>
    </comment>
    <comment authorId="0" ref="M601">
      <text>
        <t xml:space="preserve">Capital final del calendario teórico. No equivale al saldo real si hay pagos parciales o atrasos.</t>
      </text>
    </comment>
    <comment authorId="0" ref="N601">
      <text>
        <t xml:space="preserve">Suma de pagos válidos del mismo ID y cuota con fecha igual o anterior al corte.</t>
      </text>
    </comment>
    <comment authorId="0" ref="O601">
      <text>
        <t xml:space="preserve">MIN(amortización pactada; MAX(0; pagado − cargos − interés)). No imputa excedentes a otras cuotas.</t>
      </text>
    </comment>
    <comment authorId="0" ref="P601">
      <text>
        <t xml:space="preserve">MAX(0; total pactado − pagado a esta cuota). Incluye capital, interés y cargos pendientes de ESA cuota.</t>
      </text>
    </comment>
    <comment authorId="0" ref="Q601">
      <text>
        <t xml:space="preserve">Días desde vencimiento hasta corte, solo si venció antes del corte y sigue con saldo.</t>
      </text>
    </comment>
    <comment authorId="0" ref="R601">
      <text>
        <t xml:space="preserve">MAX(0; pagado − cuota pactada). Exceso para revisar: no se traspasa a otra cuota.</t>
      </text>
    </comment>
    <comment authorId="0" ref="C73">
      <text>
        <t xml:space="preserve">Crédito al que corresponde esta cuota.</t>
      </text>
    </comment>
    <comment authorId="0" ref="S601">
      <text>
        <t xml:space="preserve">Pagada, Vencida, Vence hoy, Por vencer o Exceso sin imputar según fecha y saldo al corte.</t>
      </text>
    </comment>
    <comment authorId="0" ref="D73">
      <text>
        <t xml:space="preserve">Número de cuota dentro del crédito.</t>
      </text>
    </comment>
    <comment authorId="0" ref="T601">
      <text>
        <t xml:space="preserve">Auxiliar para encontrar la primera cuota pendiente. El 999999 indica que esta cuota no tiene saldo pendiente o está fuera del plazo, y no es una fecha real.</t>
      </text>
    </comment>
    <comment authorId="0" ref="E73">
      <text>
        <t xml:space="preserve">Fecha según EDATE a partir del primer vencimiento. No ajusta automáticamente feriados.</t>
      </text>
    </comment>
    <comment authorId="0" ref="F73">
      <text>
        <t xml:space="preserve">Capital al inicio del período en el calendario ORIGINAL, sin recalcular por pagos reales.</t>
      </text>
    </comment>
    <comment authorId="0" ref="G73">
      <text>
        <t xml:space="preserve">Tasa efectiva del mes según la base ingresada.</t>
      </text>
    </comment>
    <comment authorId="0" ref="H73">
      <text>
        <t xml:space="preserve">Interés del período = capital inicial × tasa mensual, redondeado a dos decimales.</t>
      </text>
    </comment>
    <comment authorId="0" ref="I73">
      <text>
        <t xml:space="preserve">Capital e interés pactados. La última cuota ajusta el saldo por redondeo.</t>
      </text>
    </comment>
    <comment authorId="0" ref="J73">
      <text>
        <t xml:space="preserve">Capital amortizado TEÓRICO = cuota base − interés, limitado al saldo.</t>
      </text>
    </comment>
    <comment authorId="0" ref="K73">
      <text>
        <t xml:space="preserve">Seguro y otros cargos fijos del mes.</t>
      </text>
    </comment>
    <comment authorId="0" ref="L73">
      <text>
        <t xml:space="preserve">Cuota base + cargos.</t>
      </text>
    </comment>
    <comment authorId="0" ref="M73">
      <text>
        <t xml:space="preserve">Capital final del calendario teórico. No equivale al saldo real si hay pagos parciales o atrasos.</t>
      </text>
    </comment>
    <comment authorId="0" ref="N73">
      <text>
        <t xml:space="preserve">Suma de pagos válidos del mismo ID y cuota con fecha igual o anterior al corte.</t>
      </text>
    </comment>
    <comment authorId="0" ref="O73">
      <text>
        <t xml:space="preserve">MIN(amortización pactada; MAX(0; pagado − cargos − interés)). No imputa excedentes a otras cuotas.</t>
      </text>
    </comment>
    <comment authorId="0" ref="P73">
      <text>
        <t xml:space="preserve">MAX(0; total pactado − pagado a esta cuota). Incluye capital, interés y cargos pendientes de ESA cuota.</t>
      </text>
    </comment>
    <comment authorId="0" ref="Q73">
      <text>
        <t xml:space="preserve">Días desde vencimiento hasta corte, solo si venció antes del corte y sigue con saldo.</t>
      </text>
    </comment>
    <comment authorId="0" ref="R73">
      <text>
        <t xml:space="preserve">MAX(0; pagado − cuota pactada). Exceso para revisar: no se traspasa a otra cuota.</t>
      </text>
    </comment>
    <comment authorId="0" ref="C602">
      <text>
        <t xml:space="preserve">Crédito al que corresponde esta cuota.</t>
      </text>
    </comment>
    <comment authorId="0" ref="S73">
      <text>
        <t xml:space="preserve">Pagada, Vencida, Vence hoy, Por vencer o Exceso sin imputar según fecha y saldo al corte.</t>
      </text>
    </comment>
    <comment authorId="0" ref="D602">
      <text>
        <t xml:space="preserve">Número de cuota dentro del crédito.</t>
      </text>
    </comment>
    <comment authorId="0" ref="T73">
      <text>
        <t xml:space="preserve">Auxiliar para encontrar la primera cuota pendiente. El 999999 indica que esta cuota no tiene saldo pendiente o está fuera del plazo, y no es una fecha real.</t>
      </text>
    </comment>
    <comment authorId="0" ref="E602">
      <text>
        <t xml:space="preserve">Fecha según EDATE a partir del primer vencimiento. No ajusta automáticamente feriados.</t>
      </text>
    </comment>
    <comment authorId="0" ref="F602">
      <text>
        <t xml:space="preserve">Capital al inicio del período en el calendario ORIGINAL, sin recalcular por pagos reales.</t>
      </text>
    </comment>
    <comment authorId="0" ref="G602">
      <text>
        <t xml:space="preserve">Tasa efectiva del mes según la base ingresada.</t>
      </text>
    </comment>
    <comment authorId="0" ref="H602">
      <text>
        <t xml:space="preserve">Interés del período = capital inicial × tasa mensual, redondeado a dos decimales.</t>
      </text>
    </comment>
    <comment authorId="0" ref="I602">
      <text>
        <t xml:space="preserve">Capital e interés pactados. La última cuota ajusta el saldo por redondeo.</t>
      </text>
    </comment>
    <comment authorId="0" ref="J602">
      <text>
        <t xml:space="preserve">Capital amortizado TEÓRICO = cuota base − interés, limitado al saldo.</t>
      </text>
    </comment>
    <comment authorId="0" ref="K602">
      <text>
        <t xml:space="preserve">Seguro y otros cargos fijos del mes.</t>
      </text>
    </comment>
    <comment authorId="0" ref="L602">
      <text>
        <t xml:space="preserve">Cuota base + cargos.</t>
      </text>
    </comment>
    <comment authorId="0" ref="M602">
      <text>
        <t xml:space="preserve">Capital final del calendario teórico. No equivale al saldo real si hay pagos parciales o atrasos.</t>
      </text>
    </comment>
    <comment authorId="0" ref="N602">
      <text>
        <t xml:space="preserve">Suma de pagos válidos del mismo ID y cuota con fecha igual o anterior al corte.</t>
      </text>
    </comment>
    <comment authorId="0" ref="O602">
      <text>
        <t xml:space="preserve">MIN(amortización pactada; MAX(0; pagado − cargos − interés)). No imputa excedentes a otras cuotas.</t>
      </text>
    </comment>
    <comment authorId="0" ref="P602">
      <text>
        <t xml:space="preserve">MAX(0; total pactado − pagado a esta cuota). Incluye capital, interés y cargos pendientes de ESA cuota.</t>
      </text>
    </comment>
    <comment authorId="0" ref="Q602">
      <text>
        <t xml:space="preserve">Días desde vencimiento hasta corte, solo si venció antes del corte y sigue con saldo.</t>
      </text>
    </comment>
    <comment authorId="0" ref="R602">
      <text>
        <t xml:space="preserve">MAX(0; pagado − cuota pactada). Exceso para revisar: no se traspasa a otra cuota.</t>
      </text>
    </comment>
    <comment authorId="0" ref="C74">
      <text>
        <t xml:space="preserve">Crédito al que corresponde esta cuota.</t>
      </text>
    </comment>
    <comment authorId="0" ref="S602">
      <text>
        <t xml:space="preserve">Pagada, Vencida, Vence hoy, Por vencer o Exceso sin imputar según fecha y saldo al corte.</t>
      </text>
    </comment>
    <comment authorId="0" ref="D74">
      <text>
        <t xml:space="preserve">Número de cuota dentro del crédito.</t>
      </text>
    </comment>
    <comment authorId="0" ref="T602">
      <text>
        <t xml:space="preserve">Auxiliar para encontrar la primera cuota pendiente. El 999999 indica que esta cuota no tiene saldo pendiente o está fuera del plazo, y no es una fecha real.</t>
      </text>
    </comment>
    <comment authorId="0" ref="E74">
      <text>
        <t xml:space="preserve">Fecha según EDATE a partir del primer vencimiento. No ajusta automáticamente feriados.</t>
      </text>
    </comment>
    <comment authorId="0" ref="F74">
      <text>
        <t xml:space="preserve">Capital al inicio del período en el calendario ORIGINAL, sin recalcular por pagos reales.</t>
      </text>
    </comment>
    <comment authorId="0" ref="G74">
      <text>
        <t xml:space="preserve">Tasa efectiva del mes según la base ingresada.</t>
      </text>
    </comment>
    <comment authorId="0" ref="H74">
      <text>
        <t xml:space="preserve">Interés del período = capital inicial × tasa mensual, redondeado a dos decimales.</t>
      </text>
    </comment>
    <comment authorId="0" ref="I74">
      <text>
        <t xml:space="preserve">Capital e interés pactados. La última cuota ajusta el saldo por redondeo.</t>
      </text>
    </comment>
    <comment authorId="0" ref="J74">
      <text>
        <t xml:space="preserve">Capital amortizado TEÓRICO = cuota base − interés, limitado al saldo.</t>
      </text>
    </comment>
    <comment authorId="0" ref="K74">
      <text>
        <t xml:space="preserve">Seguro y otros cargos fijos del mes.</t>
      </text>
    </comment>
    <comment authorId="0" ref="L74">
      <text>
        <t xml:space="preserve">Cuota base + cargos.</t>
      </text>
    </comment>
    <comment authorId="0" ref="M74">
      <text>
        <t xml:space="preserve">Capital final del calendario teórico. No equivale al saldo real si hay pagos parciales o atrasos.</t>
      </text>
    </comment>
    <comment authorId="0" ref="N74">
      <text>
        <t xml:space="preserve">Suma de pagos válidos del mismo ID y cuota con fecha igual o anterior al corte.</t>
      </text>
    </comment>
    <comment authorId="0" ref="O74">
      <text>
        <t xml:space="preserve">MIN(amortización pactada; MAX(0; pagado − cargos − interés)). No imputa excedentes a otras cuotas.</t>
      </text>
    </comment>
    <comment authorId="0" ref="P74">
      <text>
        <t xml:space="preserve">MAX(0; total pactado − pagado a esta cuota). Incluye capital, interés y cargos pendientes de ESA cuota.</t>
      </text>
    </comment>
    <comment authorId="0" ref="Q74">
      <text>
        <t xml:space="preserve">Días desde vencimiento hasta corte, solo si venció antes del corte y sigue con saldo.</t>
      </text>
    </comment>
    <comment authorId="0" ref="R74">
      <text>
        <t xml:space="preserve">MAX(0; pagado − cuota pactada). Exceso para revisar: no se traspasa a otra cuota.</t>
      </text>
    </comment>
    <comment authorId="0" ref="C603">
      <text>
        <t xml:space="preserve">Crédito al que corresponde esta cuota.</t>
      </text>
    </comment>
    <comment authorId="0" ref="S74">
      <text>
        <t xml:space="preserve">Pagada, Vencida, Vence hoy, Por vencer o Exceso sin imputar según fecha y saldo al corte.</t>
      </text>
    </comment>
    <comment authorId="0" ref="D603">
      <text>
        <t xml:space="preserve">Número de cuota dentro del crédito.</t>
      </text>
    </comment>
    <comment authorId="0" ref="T74">
      <text>
        <t xml:space="preserve">Auxiliar para encontrar la primera cuota pendiente. El 999999 indica que esta cuota no tiene saldo pendiente o está fuera del plazo, y no es una fecha real.</t>
      </text>
    </comment>
    <comment authorId="0" ref="E603">
      <text>
        <t xml:space="preserve">Fecha según EDATE a partir del primer vencimiento. No ajusta automáticamente feriados.</t>
      </text>
    </comment>
    <comment authorId="0" ref="F603">
      <text>
        <t xml:space="preserve">Capital al inicio del período en el calendario ORIGINAL, sin recalcular por pagos reales.</t>
      </text>
    </comment>
    <comment authorId="0" ref="G603">
      <text>
        <t xml:space="preserve">Tasa efectiva del mes según la base ingresada.</t>
      </text>
    </comment>
    <comment authorId="0" ref="H603">
      <text>
        <t xml:space="preserve">Interés del período = capital inicial × tasa mensual, redondeado a dos decimales.</t>
      </text>
    </comment>
    <comment authorId="0" ref="I603">
      <text>
        <t xml:space="preserve">Capital e interés pactados. La última cuota ajusta el saldo por redondeo.</t>
      </text>
    </comment>
    <comment authorId="0" ref="J603">
      <text>
        <t xml:space="preserve">Capital amortizado TEÓRICO = cuota base − interés, limitado al saldo.</t>
      </text>
    </comment>
    <comment authorId="0" ref="K603">
      <text>
        <t xml:space="preserve">Seguro y otros cargos fijos del mes.</t>
      </text>
    </comment>
    <comment authorId="0" ref="L603">
      <text>
        <t xml:space="preserve">Cuota base + cargos.</t>
      </text>
    </comment>
    <comment authorId="0" ref="M603">
      <text>
        <t xml:space="preserve">Capital final del calendario teórico. No equivale al saldo real si hay pagos parciales o atrasos.</t>
      </text>
    </comment>
    <comment authorId="0" ref="N603">
      <text>
        <t xml:space="preserve">Suma de pagos válidos del mismo ID y cuota con fecha igual o anterior al corte.</t>
      </text>
    </comment>
    <comment authorId="0" ref="O603">
      <text>
        <t xml:space="preserve">MIN(amortización pactada; MAX(0; pagado − cargos − interés)). No imputa excedentes a otras cuotas.</t>
      </text>
    </comment>
    <comment authorId="0" ref="P603">
      <text>
        <t xml:space="preserve">MAX(0; total pactado − pagado a esta cuota). Incluye capital, interés y cargos pendientes de ESA cuota.</t>
      </text>
    </comment>
    <comment authorId="0" ref="Q603">
      <text>
        <t xml:space="preserve">Días desde vencimiento hasta corte, solo si venció antes del corte y sigue con saldo.</t>
      </text>
    </comment>
    <comment authorId="0" ref="R603">
      <text>
        <t xml:space="preserve">MAX(0; pagado − cuota pactada). Exceso para revisar: no se traspasa a otra cuota.</t>
      </text>
    </comment>
    <comment authorId="0" ref="C75">
      <text>
        <t xml:space="preserve">Crédito al que corresponde esta cuota.</t>
      </text>
    </comment>
    <comment authorId="0" ref="S603">
      <text>
        <t xml:space="preserve">Pagada, Vencida, Vence hoy, Por vencer o Exceso sin imputar según fecha y saldo al corte.</t>
      </text>
    </comment>
    <comment authorId="0" ref="D75">
      <text>
        <t xml:space="preserve">Número de cuota dentro del crédito.</t>
      </text>
    </comment>
    <comment authorId="0" ref="T603">
      <text>
        <t xml:space="preserve">Auxiliar para encontrar la primera cuota pendiente. El 999999 indica que esta cuota no tiene saldo pendiente o está fuera del plazo, y no es una fecha real.</t>
      </text>
    </comment>
    <comment authorId="0" ref="E75">
      <text>
        <t xml:space="preserve">Fecha según EDATE a partir del primer vencimiento. No ajusta automáticamente feriados.</t>
      </text>
    </comment>
    <comment authorId="0" ref="F75">
      <text>
        <t xml:space="preserve">Capital al inicio del período en el calendario ORIGINAL, sin recalcular por pagos reales.</t>
      </text>
    </comment>
    <comment authorId="0" ref="G75">
      <text>
        <t xml:space="preserve">Tasa efectiva del mes según la base ingresada.</t>
      </text>
    </comment>
    <comment authorId="0" ref="H75">
      <text>
        <t xml:space="preserve">Interés del período = capital inicial × tasa mensual, redondeado a dos decimales.</t>
      </text>
    </comment>
    <comment authorId="0" ref="I75">
      <text>
        <t xml:space="preserve">Capital e interés pactados. La última cuota ajusta el saldo por redondeo.</t>
      </text>
    </comment>
    <comment authorId="0" ref="J75">
      <text>
        <t xml:space="preserve">Capital amortizado TEÓRICO = cuota base − interés, limitado al saldo.</t>
      </text>
    </comment>
    <comment authorId="0" ref="K75">
      <text>
        <t xml:space="preserve">Seguro y otros cargos fijos del mes.</t>
      </text>
    </comment>
    <comment authorId="0" ref="L75">
      <text>
        <t xml:space="preserve">Cuota base + cargos.</t>
      </text>
    </comment>
    <comment authorId="0" ref="M75">
      <text>
        <t xml:space="preserve">Capital final del calendario teórico. No equivale al saldo real si hay pagos parciales o atrasos.</t>
      </text>
    </comment>
    <comment authorId="0" ref="N75">
      <text>
        <t xml:space="preserve">Suma de pagos válidos del mismo ID y cuota con fecha igual o anterior al corte.</t>
      </text>
    </comment>
    <comment authorId="0" ref="O75">
      <text>
        <t xml:space="preserve">MIN(amortización pactada; MAX(0; pagado − cargos − interés)). No imputa excedentes a otras cuotas.</t>
      </text>
    </comment>
    <comment authorId="0" ref="P75">
      <text>
        <t xml:space="preserve">MAX(0; total pactado − pagado a esta cuota). Incluye capital, interés y cargos pendientes de ESA cuota.</t>
      </text>
    </comment>
    <comment authorId="0" ref="Q75">
      <text>
        <t xml:space="preserve">Días desde vencimiento hasta corte, solo si venció antes del corte y sigue con saldo.</t>
      </text>
    </comment>
    <comment authorId="0" ref="R75">
      <text>
        <t xml:space="preserve">MAX(0; pagado − cuota pactada). Exceso para revisar: no se traspasa a otra cuota.</t>
      </text>
    </comment>
    <comment authorId="0" ref="C604">
      <text>
        <t xml:space="preserve">Crédito al que corresponde esta cuota.</t>
      </text>
    </comment>
    <comment authorId="0" ref="S75">
      <text>
        <t xml:space="preserve">Pagada, Vencida, Vence hoy, Por vencer o Exceso sin imputar según fecha y saldo al corte.</t>
      </text>
    </comment>
    <comment authorId="0" ref="D604">
      <text>
        <t xml:space="preserve">Número de cuota dentro del crédito.</t>
      </text>
    </comment>
    <comment authorId="0" ref="T75">
      <text>
        <t xml:space="preserve">Auxiliar para encontrar la primera cuota pendiente. El 999999 indica que esta cuota no tiene saldo pendiente o está fuera del plazo, y no es una fecha real.</t>
      </text>
    </comment>
    <comment authorId="0" ref="E604">
      <text>
        <t xml:space="preserve">Fecha según EDATE a partir del primer vencimiento. No ajusta automáticamente feriados.</t>
      </text>
    </comment>
    <comment authorId="0" ref="F604">
      <text>
        <t xml:space="preserve">Capital al inicio del período en el calendario ORIGINAL, sin recalcular por pagos reales.</t>
      </text>
    </comment>
    <comment authorId="0" ref="G604">
      <text>
        <t xml:space="preserve">Tasa efectiva del mes según la base ingresada.</t>
      </text>
    </comment>
    <comment authorId="0" ref="H604">
      <text>
        <t xml:space="preserve">Interés del período = capital inicial × tasa mensual, redondeado a dos decimales.</t>
      </text>
    </comment>
    <comment authorId="0" ref="I604">
      <text>
        <t xml:space="preserve">Capital e interés pactados. La última cuota ajusta el saldo por redondeo.</t>
      </text>
    </comment>
    <comment authorId="0" ref="J604">
      <text>
        <t xml:space="preserve">Capital amortizado TEÓRICO = cuota base − interés, limitado al saldo.</t>
      </text>
    </comment>
    <comment authorId="0" ref="K604">
      <text>
        <t xml:space="preserve">Seguro y otros cargos fijos del mes.</t>
      </text>
    </comment>
    <comment authorId="0" ref="L604">
      <text>
        <t xml:space="preserve">Cuota base + cargos.</t>
      </text>
    </comment>
    <comment authorId="0" ref="M604">
      <text>
        <t xml:space="preserve">Capital final del calendario teórico. No equivale al saldo real si hay pagos parciales o atrasos.</t>
      </text>
    </comment>
    <comment authorId="0" ref="N604">
      <text>
        <t xml:space="preserve">Suma de pagos válidos del mismo ID y cuota con fecha igual o anterior al corte.</t>
      </text>
    </comment>
    <comment authorId="0" ref="O604">
      <text>
        <t xml:space="preserve">MIN(amortización pactada; MAX(0; pagado − cargos − interés)). No imputa excedentes a otras cuotas.</t>
      </text>
    </comment>
    <comment authorId="0" ref="P604">
      <text>
        <t xml:space="preserve">MAX(0; total pactado − pagado a esta cuota). Incluye capital, interés y cargos pendientes de ESA cuota.</t>
      </text>
    </comment>
    <comment authorId="0" ref="Q604">
      <text>
        <t xml:space="preserve">Días desde vencimiento hasta corte, solo si venció antes del corte y sigue con saldo.</t>
      </text>
    </comment>
    <comment authorId="0" ref="R604">
      <text>
        <t xml:space="preserve">MAX(0; pagado − cuota pactada). Exceso para revisar: no se traspasa a otra cuota.</t>
      </text>
    </comment>
    <comment authorId="0" ref="C76">
      <text>
        <t xml:space="preserve">Crédito al que corresponde esta cuota.</t>
      </text>
    </comment>
    <comment authorId="0" ref="S604">
      <text>
        <t xml:space="preserve">Pagada, Vencida, Vence hoy, Por vencer o Exceso sin imputar según fecha y saldo al corte.</t>
      </text>
    </comment>
    <comment authorId="0" ref="D76">
      <text>
        <t xml:space="preserve">Número de cuota dentro del crédito.</t>
      </text>
    </comment>
    <comment authorId="0" ref="T604">
      <text>
        <t xml:space="preserve">Auxiliar para encontrar la primera cuota pendiente. El 999999 indica que esta cuota no tiene saldo pendiente o está fuera del plazo, y no es una fecha real.</t>
      </text>
    </comment>
    <comment authorId="0" ref="E76">
      <text>
        <t xml:space="preserve">Fecha según EDATE a partir del primer vencimiento. No ajusta automáticamente feriados.</t>
      </text>
    </comment>
    <comment authorId="0" ref="F76">
      <text>
        <t xml:space="preserve">Capital al inicio del período en el calendario ORIGINAL, sin recalcular por pagos reales.</t>
      </text>
    </comment>
    <comment authorId="0" ref="G76">
      <text>
        <t xml:space="preserve">Tasa efectiva del mes según la base ingresada.</t>
      </text>
    </comment>
    <comment authorId="0" ref="H76">
      <text>
        <t xml:space="preserve">Interés del período = capital inicial × tasa mensual, redondeado a dos decimales.</t>
      </text>
    </comment>
    <comment authorId="0" ref="I76">
      <text>
        <t xml:space="preserve">Capital e interés pactados. La última cuota ajusta el saldo por redondeo.</t>
      </text>
    </comment>
    <comment authorId="0" ref="J76">
      <text>
        <t xml:space="preserve">Capital amortizado TEÓRICO = cuota base − interés, limitado al saldo.</t>
      </text>
    </comment>
    <comment authorId="0" ref="K76">
      <text>
        <t xml:space="preserve">Seguro y otros cargos fijos del mes.</t>
      </text>
    </comment>
    <comment authorId="0" ref="L76">
      <text>
        <t xml:space="preserve">Cuota base + cargos.</t>
      </text>
    </comment>
    <comment authorId="0" ref="M76">
      <text>
        <t xml:space="preserve">Capital final del calendario teórico. No equivale al saldo real si hay pagos parciales o atrasos.</t>
      </text>
    </comment>
    <comment authorId="0" ref="N76">
      <text>
        <t xml:space="preserve">Suma de pagos válidos del mismo ID y cuota con fecha igual o anterior al corte.</t>
      </text>
    </comment>
    <comment authorId="0" ref="O76">
      <text>
        <t xml:space="preserve">MIN(amortización pactada; MAX(0; pagado − cargos − interés)). No imputa excedentes a otras cuotas.</t>
      </text>
    </comment>
    <comment authorId="0" ref="P76">
      <text>
        <t xml:space="preserve">MAX(0; total pactado − pagado a esta cuota). Incluye capital, interés y cargos pendientes de ESA cuota.</t>
      </text>
    </comment>
    <comment authorId="0" ref="Q76">
      <text>
        <t xml:space="preserve">Días desde vencimiento hasta corte, solo si venció antes del corte y sigue con saldo.</t>
      </text>
    </comment>
    <comment authorId="0" ref="R76">
      <text>
        <t xml:space="preserve">MAX(0; pagado − cuota pactada). Exceso para revisar: no se traspasa a otra cuota.</t>
      </text>
    </comment>
    <comment authorId="0" ref="C605">
      <text>
        <t xml:space="preserve">Crédito al que corresponde esta cuota.</t>
      </text>
    </comment>
    <comment authorId="0" ref="S76">
      <text>
        <t xml:space="preserve">Pagada, Vencida, Vence hoy, Por vencer o Exceso sin imputar según fecha y saldo al corte.</t>
      </text>
    </comment>
    <comment authorId="0" ref="D605">
      <text>
        <t xml:space="preserve">Número de cuota dentro del crédito.</t>
      </text>
    </comment>
    <comment authorId="0" ref="T76">
      <text>
        <t xml:space="preserve">Auxiliar para encontrar la primera cuota pendiente. El 999999 indica que esta cuota no tiene saldo pendiente o está fuera del plazo, y no es una fecha real.</t>
      </text>
    </comment>
    <comment authorId="0" ref="E605">
      <text>
        <t xml:space="preserve">Fecha según EDATE a partir del primer vencimiento. No ajusta automáticamente feriados.</t>
      </text>
    </comment>
    <comment authorId="0" ref="F605">
      <text>
        <t xml:space="preserve">Capital al inicio del período en el calendario ORIGINAL, sin recalcular por pagos reales.</t>
      </text>
    </comment>
    <comment authorId="0" ref="G605">
      <text>
        <t xml:space="preserve">Tasa efectiva del mes según la base ingresada.</t>
      </text>
    </comment>
    <comment authorId="0" ref="H605">
      <text>
        <t xml:space="preserve">Interés del período = capital inicial × tasa mensual, redondeado a dos decimales.</t>
      </text>
    </comment>
    <comment authorId="0" ref="I605">
      <text>
        <t xml:space="preserve">Capital e interés pactados. La última cuota ajusta el saldo por redondeo.</t>
      </text>
    </comment>
    <comment authorId="0" ref="J605">
      <text>
        <t xml:space="preserve">Capital amortizado TEÓRICO = cuota base − interés, limitado al saldo.</t>
      </text>
    </comment>
    <comment authorId="0" ref="K605">
      <text>
        <t xml:space="preserve">Seguro y otros cargos fijos del mes.</t>
      </text>
    </comment>
    <comment authorId="0" ref="L605">
      <text>
        <t xml:space="preserve">Cuota base + cargos.</t>
      </text>
    </comment>
    <comment authorId="0" ref="M605">
      <text>
        <t xml:space="preserve">Capital final del calendario teórico. No equivale al saldo real si hay pagos parciales o atrasos.</t>
      </text>
    </comment>
    <comment authorId="0" ref="N605">
      <text>
        <t xml:space="preserve">Suma de pagos válidos del mismo ID y cuota con fecha igual o anterior al corte.</t>
      </text>
    </comment>
    <comment authorId="0" ref="O605">
      <text>
        <t xml:space="preserve">MIN(amortización pactada; MAX(0; pagado − cargos − interés)). No imputa excedentes a otras cuotas.</t>
      </text>
    </comment>
    <comment authorId="0" ref="P605">
      <text>
        <t xml:space="preserve">MAX(0; total pactado − pagado a esta cuota). Incluye capital, interés y cargos pendientes de ESA cuota.</t>
      </text>
    </comment>
    <comment authorId="0" ref="Q605">
      <text>
        <t xml:space="preserve">Días desde vencimiento hasta corte, solo si venció antes del corte y sigue con saldo.</t>
      </text>
    </comment>
    <comment authorId="0" ref="R605">
      <text>
        <t xml:space="preserve">MAX(0; pagado − cuota pactada). Exceso para revisar: no se traspasa a otra cuota.</t>
      </text>
    </comment>
    <comment authorId="0" ref="C77">
      <text>
        <t xml:space="preserve">Crédito al que corresponde esta cuota.</t>
      </text>
    </comment>
    <comment authorId="0" ref="S605">
      <text>
        <t xml:space="preserve">Pagada, Vencida, Vence hoy, Por vencer o Exceso sin imputar según fecha y saldo al corte.</t>
      </text>
    </comment>
    <comment authorId="0" ref="D77">
      <text>
        <t xml:space="preserve">Número de cuota dentro del crédito.</t>
      </text>
    </comment>
    <comment authorId="0" ref="T605">
      <text>
        <t xml:space="preserve">Auxiliar para encontrar la primera cuota pendiente. El 999999 indica que esta cuota no tiene saldo pendiente o está fuera del plazo, y no es una fecha real.</t>
      </text>
    </comment>
    <comment authorId="0" ref="E77">
      <text>
        <t xml:space="preserve">Fecha según EDATE a partir del primer vencimiento. No ajusta automáticamente feriados.</t>
      </text>
    </comment>
    <comment authorId="0" ref="F77">
      <text>
        <t xml:space="preserve">Capital al inicio del período en el calendario ORIGINAL, sin recalcular por pagos reales.</t>
      </text>
    </comment>
    <comment authorId="0" ref="G77">
      <text>
        <t xml:space="preserve">Tasa efectiva del mes según la base ingresada.</t>
      </text>
    </comment>
    <comment authorId="0" ref="H77">
      <text>
        <t xml:space="preserve">Interés del período = capital inicial × tasa mensual, redondeado a dos decimales.</t>
      </text>
    </comment>
    <comment authorId="0" ref="I77">
      <text>
        <t xml:space="preserve">Capital e interés pactados. La última cuota ajusta el saldo por redondeo.</t>
      </text>
    </comment>
    <comment authorId="0" ref="J77">
      <text>
        <t xml:space="preserve">Capital amortizado TEÓRICO = cuota base − interés, limitado al saldo.</t>
      </text>
    </comment>
    <comment authorId="0" ref="K77">
      <text>
        <t xml:space="preserve">Seguro y otros cargos fijos del mes.</t>
      </text>
    </comment>
    <comment authorId="0" ref="L77">
      <text>
        <t xml:space="preserve">Cuota base + cargos.</t>
      </text>
    </comment>
    <comment authorId="0" ref="M77">
      <text>
        <t xml:space="preserve">Capital final del calendario teórico. No equivale al saldo real si hay pagos parciales o atrasos.</t>
      </text>
    </comment>
    <comment authorId="0" ref="N77">
      <text>
        <t xml:space="preserve">Suma de pagos válidos del mismo ID y cuota con fecha igual o anterior al corte.</t>
      </text>
    </comment>
    <comment authorId="0" ref="O77">
      <text>
        <t xml:space="preserve">MIN(amortización pactada; MAX(0; pagado − cargos − interés)). No imputa excedentes a otras cuotas.</t>
      </text>
    </comment>
    <comment authorId="0" ref="P77">
      <text>
        <t xml:space="preserve">MAX(0; total pactado − pagado a esta cuota). Incluye capital, interés y cargos pendientes de ESA cuota.</t>
      </text>
    </comment>
    <comment authorId="0" ref="Q77">
      <text>
        <t xml:space="preserve">Días desde vencimiento hasta corte, solo si venció antes del corte y sigue con saldo.</t>
      </text>
    </comment>
    <comment authorId="0" ref="R77">
      <text>
        <t xml:space="preserve">MAX(0; pagado − cuota pactada). Exceso para revisar: no se traspasa a otra cuota.</t>
      </text>
    </comment>
    <comment authorId="0" ref="S77">
      <text>
        <t xml:space="preserve">Pagada, Vencida, Vence hoy, Por vencer o Exceso sin imputar según fecha y saldo al corte.</t>
      </text>
    </comment>
    <comment authorId="0" ref="T77">
      <text>
        <t xml:space="preserve">Auxiliar para encontrar la primera cuota pendiente. El 999999 indica que esta cuota no tiene saldo pendiente o está fuera del plazo, y no es una fecha real.</t>
      </text>
    </comment>
    <comment authorId="0" ref="C78">
      <text>
        <t xml:space="preserve">Crédito al que corresponde esta cuota.</t>
      </text>
    </comment>
    <comment authorId="0" ref="D78">
      <text>
        <t xml:space="preserve">Número de cuota dentro del crédito.</t>
      </text>
    </comment>
    <comment authorId="0" ref="E78">
      <text>
        <t xml:space="preserve">Fecha según EDATE a partir del primer vencimiento. No ajusta automáticamente feriados.</t>
      </text>
    </comment>
    <comment authorId="0" ref="F78">
      <text>
        <t xml:space="preserve">Capital al inicio del período en el calendario ORIGINAL, sin recalcular por pagos reales.</t>
      </text>
    </comment>
    <comment authorId="0" ref="G78">
      <text>
        <t xml:space="preserve">Tasa efectiva del mes según la base ingresada.</t>
      </text>
    </comment>
    <comment authorId="0" ref="H78">
      <text>
        <t xml:space="preserve">Interés del período = capital inicial × tasa mensual, redondeado a dos decimales.</t>
      </text>
    </comment>
    <comment authorId="0" ref="I78">
      <text>
        <t xml:space="preserve">Capital e interés pactados. La última cuota ajusta el saldo por redondeo.</t>
      </text>
    </comment>
    <comment authorId="0" ref="J78">
      <text>
        <t xml:space="preserve">Capital amortizado TEÓRICO = cuota base − interés, limitado al saldo.</t>
      </text>
    </comment>
    <comment authorId="0" ref="K78">
      <text>
        <t xml:space="preserve">Seguro y otros cargos fijos del mes.</t>
      </text>
    </comment>
    <comment authorId="0" ref="L78">
      <text>
        <t xml:space="preserve">Cuota base + cargos.</t>
      </text>
    </comment>
    <comment authorId="0" ref="M78">
      <text>
        <t xml:space="preserve">Capital final del calendario teórico. No equivale al saldo real si hay pagos parciales o atrasos.</t>
      </text>
    </comment>
    <comment authorId="0" ref="N78">
      <text>
        <t xml:space="preserve">Suma de pagos válidos del mismo ID y cuota con fecha igual o anterior al corte.</t>
      </text>
    </comment>
    <comment authorId="0" ref="O78">
      <text>
        <t xml:space="preserve">MIN(amortización pactada; MAX(0; pagado − cargos − interés)). No imputa excedentes a otras cuotas.</t>
      </text>
    </comment>
    <comment authorId="0" ref="P78">
      <text>
        <t xml:space="preserve">MAX(0; total pactado − pagado a esta cuota). Incluye capital, interés y cargos pendientes de ESA cuota.</t>
      </text>
    </comment>
    <comment authorId="0" ref="Q78">
      <text>
        <t xml:space="preserve">Días desde vencimiento hasta corte, solo si venció antes del corte y sigue con saldo.</t>
      </text>
    </comment>
    <comment authorId="0" ref="R78">
      <text>
        <t xml:space="preserve">MAX(0; pagado − cuota pactada). Exceso para revisar: no se traspasa a otra cuota.</t>
      </text>
    </comment>
    <comment authorId="0" ref="S78">
      <text>
        <t xml:space="preserve">Pagada, Vencida, Vence hoy, Por vencer o Exceso sin imputar según fecha y saldo al corte.</t>
      </text>
    </comment>
    <comment authorId="0" ref="T78">
      <text>
        <t xml:space="preserve">Auxiliar para encontrar la primera cuota pendiente. El 999999 indica que esta cuota no tiene saldo pendiente o está fuera del plazo, y no es una fecha real.</t>
      </text>
    </comment>
    <comment authorId="0" ref="C79">
      <text>
        <t xml:space="preserve">Crédito al que corresponde esta cuota.</t>
      </text>
    </comment>
    <comment authorId="0" ref="D79">
      <text>
        <t xml:space="preserve">Número de cuota dentro del crédito.</t>
      </text>
    </comment>
    <comment authorId="0" ref="E79">
      <text>
        <t xml:space="preserve">Fecha según EDATE a partir del primer vencimiento. No ajusta automáticamente feriados.</t>
      </text>
    </comment>
    <comment authorId="0" ref="F79">
      <text>
        <t xml:space="preserve">Capital al inicio del período en el calendario ORIGINAL, sin recalcular por pagos reales.</t>
      </text>
    </comment>
    <comment authorId="0" ref="G79">
      <text>
        <t xml:space="preserve">Tasa efectiva del mes según la base ingresada.</t>
      </text>
    </comment>
    <comment authorId="0" ref="H79">
      <text>
        <t xml:space="preserve">Interés del período = capital inicial × tasa mensual, redondeado a dos decimales.</t>
      </text>
    </comment>
    <comment authorId="0" ref="I79">
      <text>
        <t xml:space="preserve">Capital e interés pactados. La última cuota ajusta el saldo por redondeo.</t>
      </text>
    </comment>
    <comment authorId="0" ref="J79">
      <text>
        <t xml:space="preserve">Capital amortizado TEÓRICO = cuota base − interés, limitado al saldo.</t>
      </text>
    </comment>
    <comment authorId="0" ref="K79">
      <text>
        <t xml:space="preserve">Seguro y otros cargos fijos del mes.</t>
      </text>
    </comment>
    <comment authorId="0" ref="L79">
      <text>
        <t xml:space="preserve">Cuota base + cargos.</t>
      </text>
    </comment>
    <comment authorId="0" ref="M79">
      <text>
        <t xml:space="preserve">Capital final del calendario teórico. No equivale al saldo real si hay pagos parciales o atrasos.</t>
      </text>
    </comment>
    <comment authorId="0" ref="N79">
      <text>
        <t xml:space="preserve">Suma de pagos válidos del mismo ID y cuota con fecha igual o anterior al corte.</t>
      </text>
    </comment>
    <comment authorId="0" ref="O79">
      <text>
        <t xml:space="preserve">MIN(amortización pactada; MAX(0; pagado − cargos − interés)). No imputa excedentes a otras cuotas.</t>
      </text>
    </comment>
    <comment authorId="0" ref="P79">
      <text>
        <t xml:space="preserve">MAX(0; total pactado − pagado a esta cuota). Incluye capital, interés y cargos pendientes de ESA cuota.</t>
      </text>
    </comment>
    <comment authorId="0" ref="Q79">
      <text>
        <t xml:space="preserve">Días desde vencimiento hasta corte, solo si venció antes del corte y sigue con saldo.</t>
      </text>
    </comment>
    <comment authorId="0" ref="R79">
      <text>
        <t xml:space="preserve">MAX(0; pagado − cuota pactada). Exceso para revisar: no se traspasa a otra cuota.</t>
      </text>
    </comment>
    <comment authorId="0" ref="S79">
      <text>
        <t xml:space="preserve">Pagada, Vencida, Vence hoy, Por vencer o Exceso sin imputar según fecha y saldo al corte.</t>
      </text>
    </comment>
    <comment authorId="0" ref="T79">
      <text>
        <t xml:space="preserve">Auxiliar para encontrar la primera cuota pendiente. El 999999 indica que esta cuota no tiene saldo pendiente o está fuera del plazo, y no es una fecha real.</t>
      </text>
    </comment>
    <comment authorId="0" ref="C80">
      <text>
        <t xml:space="preserve">Crédito al que corresponde esta cuota.</t>
      </text>
    </comment>
    <comment authorId="0" ref="D80">
      <text>
        <t xml:space="preserve">Número de cuota dentro del crédito.</t>
      </text>
    </comment>
    <comment authorId="0" ref="E80">
      <text>
        <t xml:space="preserve">Fecha según EDATE a partir del primer vencimiento. No ajusta automáticamente feriados.</t>
      </text>
    </comment>
    <comment authorId="0" ref="F80">
      <text>
        <t xml:space="preserve">Capital al inicio del período en el calendario ORIGINAL, sin recalcular por pagos reales.</t>
      </text>
    </comment>
    <comment authorId="0" ref="G80">
      <text>
        <t xml:space="preserve">Tasa efectiva del mes según la base ingresada.</t>
      </text>
    </comment>
    <comment authorId="0" ref="H80">
      <text>
        <t xml:space="preserve">Interés del período = capital inicial × tasa mensual, redondeado a dos decimales.</t>
      </text>
    </comment>
    <comment authorId="0" ref="I80">
      <text>
        <t xml:space="preserve">Capital e interés pactados. La última cuota ajusta el saldo por redondeo.</t>
      </text>
    </comment>
    <comment authorId="0" ref="J80">
      <text>
        <t xml:space="preserve">Capital amortizado TEÓRICO = cuota base − interés, limitado al saldo.</t>
      </text>
    </comment>
    <comment authorId="0" ref="K80">
      <text>
        <t xml:space="preserve">Seguro y otros cargos fijos del mes.</t>
      </text>
    </comment>
    <comment authorId="0" ref="L80">
      <text>
        <t xml:space="preserve">Cuota base + cargos.</t>
      </text>
    </comment>
    <comment authorId="0" ref="M80">
      <text>
        <t xml:space="preserve">Capital final del calendario teórico. No equivale al saldo real si hay pagos parciales o atrasos.</t>
      </text>
    </comment>
    <comment authorId="0" ref="N80">
      <text>
        <t xml:space="preserve">Suma de pagos válidos del mismo ID y cuota con fecha igual o anterior al corte.</t>
      </text>
    </comment>
    <comment authorId="0" ref="O80">
      <text>
        <t xml:space="preserve">MIN(amortización pactada; MAX(0; pagado − cargos − interés)). No imputa excedentes a otras cuotas.</t>
      </text>
    </comment>
    <comment authorId="0" ref="P80">
      <text>
        <t xml:space="preserve">MAX(0; total pactado − pagado a esta cuota). Incluye capital, interés y cargos pendientes de ESA cuota.</t>
      </text>
    </comment>
    <comment authorId="0" ref="Q80">
      <text>
        <t xml:space="preserve">Días desde vencimiento hasta corte, solo si venció antes del corte y sigue con saldo.</t>
      </text>
    </comment>
    <comment authorId="0" ref="R80">
      <text>
        <t xml:space="preserve">MAX(0; pagado − cuota pactada). Exceso para revisar: no se traspasa a otra cuota.</t>
      </text>
    </comment>
    <comment authorId="0" ref="S80">
      <text>
        <t xml:space="preserve">Pagada, Vencida, Vence hoy, Por vencer o Exceso sin imputar según fecha y saldo al corte.</t>
      </text>
    </comment>
    <comment authorId="0" ref="T80">
      <text>
        <t xml:space="preserve">Auxiliar para encontrar la primera cuota pendiente. El 999999 indica que esta cuota no tiene saldo pendiente o está fuera del plazo, y no es una fecha real.</t>
      </text>
    </comment>
    <comment authorId="0" ref="C81">
      <text>
        <t xml:space="preserve">Crédito al que corresponde esta cuota.</t>
      </text>
    </comment>
    <comment authorId="0" ref="D81">
      <text>
        <t xml:space="preserve">Número de cuota dentro del crédito.</t>
      </text>
    </comment>
    <comment authorId="0" ref="E81">
      <text>
        <t xml:space="preserve">Fecha según EDATE a partir del primer vencimiento. No ajusta automáticamente feriados.</t>
      </text>
    </comment>
    <comment authorId="0" ref="F81">
      <text>
        <t xml:space="preserve">Capital al inicio del período en el calendario ORIGINAL, sin recalcular por pagos reales.</t>
      </text>
    </comment>
    <comment authorId="0" ref="G81">
      <text>
        <t xml:space="preserve">Tasa efectiva del mes según la base ingresada.</t>
      </text>
    </comment>
    <comment authorId="0" ref="H81">
      <text>
        <t xml:space="preserve">Interés del período = capital inicial × tasa mensual, redondeado a dos decimales.</t>
      </text>
    </comment>
    <comment authorId="0" ref="I81">
      <text>
        <t xml:space="preserve">Capital e interés pactados. La última cuota ajusta el saldo por redondeo.</t>
      </text>
    </comment>
    <comment authorId="0" ref="J81">
      <text>
        <t xml:space="preserve">Capital amortizado TEÓRICO = cuota base − interés, limitado al saldo.</t>
      </text>
    </comment>
    <comment authorId="0" ref="K81">
      <text>
        <t xml:space="preserve">Seguro y otros cargos fijos del mes.</t>
      </text>
    </comment>
    <comment authorId="0" ref="L81">
      <text>
        <t xml:space="preserve">Cuota base + cargos.</t>
      </text>
    </comment>
    <comment authorId="0" ref="M81">
      <text>
        <t xml:space="preserve">Capital final del calendario teórico. No equivale al saldo real si hay pagos parciales o atrasos.</t>
      </text>
    </comment>
    <comment authorId="0" ref="N81">
      <text>
        <t xml:space="preserve">Suma de pagos válidos del mismo ID y cuota con fecha igual o anterior al corte.</t>
      </text>
    </comment>
    <comment authorId="0" ref="O81">
      <text>
        <t xml:space="preserve">MIN(amortización pactada; MAX(0; pagado − cargos − interés)). No imputa excedentes a otras cuotas.</t>
      </text>
    </comment>
    <comment authorId="0" ref="P81">
      <text>
        <t xml:space="preserve">MAX(0; total pactado − pagado a esta cuota). Incluye capital, interés y cargos pendientes de ESA cuota.</t>
      </text>
    </comment>
    <comment authorId="0" ref="Q81">
      <text>
        <t xml:space="preserve">Días desde vencimiento hasta corte, solo si venció antes del corte y sigue con saldo.</t>
      </text>
    </comment>
    <comment authorId="0" ref="R81">
      <text>
        <t xml:space="preserve">MAX(0; pagado − cuota pactada). Exceso para revisar: no se traspasa a otra cuota.</t>
      </text>
    </comment>
    <comment authorId="0" ref="S81">
      <text>
        <t xml:space="preserve">Pagada, Vencida, Vence hoy, Por vencer o Exceso sin imputar según fecha y saldo al corte.</t>
      </text>
    </comment>
    <comment authorId="0" ref="T81">
      <text>
        <t xml:space="preserve">Auxiliar para encontrar la primera cuota pendiente. El 999999 indica que esta cuota no tiene saldo pendiente o está fuera del plazo, y no es una fecha real.</t>
      </text>
    </comment>
    <comment authorId="0" ref="C82">
      <text>
        <t xml:space="preserve">Crédito al que corresponde esta cuota.</t>
      </text>
    </comment>
    <comment authorId="0" ref="D82">
      <text>
        <t xml:space="preserve">Número de cuota dentro del crédito.</t>
      </text>
    </comment>
    <comment authorId="0" ref="E82">
      <text>
        <t xml:space="preserve">Fecha según EDATE a partir del primer vencimiento. No ajusta automáticamente feriados.</t>
      </text>
    </comment>
    <comment authorId="0" ref="F82">
      <text>
        <t xml:space="preserve">Capital al inicio del período en el calendario ORIGINAL, sin recalcular por pagos reales.</t>
      </text>
    </comment>
    <comment authorId="0" ref="G82">
      <text>
        <t xml:space="preserve">Tasa efectiva del mes según la base ingresada.</t>
      </text>
    </comment>
    <comment authorId="0" ref="H82">
      <text>
        <t xml:space="preserve">Interés del período = capital inicial × tasa mensual, redondeado a dos decimales.</t>
      </text>
    </comment>
    <comment authorId="0" ref="I82">
      <text>
        <t xml:space="preserve">Capital e interés pactados. La última cuota ajusta el saldo por redondeo.</t>
      </text>
    </comment>
    <comment authorId="0" ref="J82">
      <text>
        <t xml:space="preserve">Capital amortizado TEÓRICO = cuota base − interés, limitado al saldo.</t>
      </text>
    </comment>
    <comment authorId="0" ref="K82">
      <text>
        <t xml:space="preserve">Seguro y otros cargos fijos del mes.</t>
      </text>
    </comment>
    <comment authorId="0" ref="L82">
      <text>
        <t xml:space="preserve">Cuota base + cargos.</t>
      </text>
    </comment>
    <comment authorId="0" ref="M82">
      <text>
        <t xml:space="preserve">Capital final del calendario teórico. No equivale al saldo real si hay pagos parciales o atrasos.</t>
      </text>
    </comment>
    <comment authorId="0" ref="N82">
      <text>
        <t xml:space="preserve">Suma de pagos válidos del mismo ID y cuota con fecha igual o anterior al corte.</t>
      </text>
    </comment>
    <comment authorId="0" ref="O82">
      <text>
        <t xml:space="preserve">MIN(amortización pactada; MAX(0; pagado − cargos − interés)). No imputa excedentes a otras cuotas.</t>
      </text>
    </comment>
    <comment authorId="0" ref="P82">
      <text>
        <t xml:space="preserve">MAX(0; total pactado − pagado a esta cuota). Incluye capital, interés y cargos pendientes de ESA cuota.</t>
      </text>
    </comment>
    <comment authorId="0" ref="Q82">
      <text>
        <t xml:space="preserve">Días desde vencimiento hasta corte, solo si venció antes del corte y sigue con saldo.</t>
      </text>
    </comment>
    <comment authorId="0" ref="R82">
      <text>
        <t xml:space="preserve">MAX(0; pagado − cuota pactada). Exceso para revisar: no se traspasa a otra cuota.</t>
      </text>
    </comment>
    <comment authorId="0" ref="S82">
      <text>
        <t xml:space="preserve">Pagada, Vencida, Vence hoy, Por vencer o Exceso sin imputar según fecha y saldo al corte.</t>
      </text>
    </comment>
    <comment authorId="0" ref="T82">
      <text>
        <t xml:space="preserve">Auxiliar para encontrar la primera cuota pendiente. El 999999 indica que esta cuota no tiene saldo pendiente o está fuera del plazo, y no es una fecha real.</t>
      </text>
    </comment>
    <comment authorId="0" ref="C83">
      <text>
        <t xml:space="preserve">Crédito al que corresponde esta cuota.</t>
      </text>
    </comment>
    <comment authorId="0" ref="D83">
      <text>
        <t xml:space="preserve">Número de cuota dentro del crédito.</t>
      </text>
    </comment>
    <comment authorId="0" ref="E83">
      <text>
        <t xml:space="preserve">Fecha según EDATE a partir del primer vencimiento. No ajusta automáticamente feriados.</t>
      </text>
    </comment>
    <comment authorId="0" ref="F83">
      <text>
        <t xml:space="preserve">Capital al inicio del período en el calendario ORIGINAL, sin recalcular por pagos reales.</t>
      </text>
    </comment>
    <comment authorId="0" ref="G83">
      <text>
        <t xml:space="preserve">Tasa efectiva del mes según la base ingresada.</t>
      </text>
    </comment>
    <comment authorId="0" ref="H83">
      <text>
        <t xml:space="preserve">Interés del período = capital inicial × tasa mensual, redondeado a dos decimales.</t>
      </text>
    </comment>
    <comment authorId="0" ref="I83">
      <text>
        <t xml:space="preserve">Capital e interés pactados. La última cuota ajusta el saldo por redondeo.</t>
      </text>
    </comment>
    <comment authorId="0" ref="J83">
      <text>
        <t xml:space="preserve">Capital amortizado TEÓRICO = cuota base − interés, limitado al saldo.</t>
      </text>
    </comment>
    <comment authorId="0" ref="K83">
      <text>
        <t xml:space="preserve">Seguro y otros cargos fijos del mes.</t>
      </text>
    </comment>
    <comment authorId="0" ref="L83">
      <text>
        <t xml:space="preserve">Cuota base + cargos.</t>
      </text>
    </comment>
    <comment authorId="0" ref="M83">
      <text>
        <t xml:space="preserve">Capital final del calendario teórico. No equivale al saldo real si hay pagos parciales o atrasos.</t>
      </text>
    </comment>
    <comment authorId="0" ref="N83">
      <text>
        <t xml:space="preserve">Suma de pagos válidos del mismo ID y cuota con fecha igual o anterior al corte.</t>
      </text>
    </comment>
    <comment authorId="0" ref="O83">
      <text>
        <t xml:space="preserve">MIN(amortización pactada; MAX(0; pagado − cargos − interés)). No imputa excedentes a otras cuotas.</t>
      </text>
    </comment>
    <comment authorId="0" ref="P83">
      <text>
        <t xml:space="preserve">MAX(0; total pactado − pagado a esta cuota). Incluye capital, interés y cargos pendientes de ESA cuota.</t>
      </text>
    </comment>
    <comment authorId="0" ref="Q83">
      <text>
        <t xml:space="preserve">Días desde vencimiento hasta corte, solo si venció antes del corte y sigue con saldo.</t>
      </text>
    </comment>
    <comment authorId="0" ref="R83">
      <text>
        <t xml:space="preserve">MAX(0; pagado − cuota pactada). Exceso para revisar: no se traspasa a otra cuota.</t>
      </text>
    </comment>
    <comment authorId="0" ref="S83">
      <text>
        <t xml:space="preserve">Pagada, Vencida, Vence hoy, Por vencer o Exceso sin imputar según fecha y saldo al corte.</t>
      </text>
    </comment>
    <comment authorId="0" ref="T83">
      <text>
        <t xml:space="preserve">Auxiliar para encontrar la primera cuota pendiente. El 999999 indica que esta cuota no tiene saldo pendiente o está fuera del plazo, y no es una fecha real.</t>
      </text>
    </comment>
    <comment authorId="0" ref="C84">
      <text>
        <t xml:space="preserve">Crédito al que corresponde esta cuota.</t>
      </text>
    </comment>
    <comment authorId="0" ref="D84">
      <text>
        <t xml:space="preserve">Número de cuota dentro del crédito.</t>
      </text>
    </comment>
    <comment authorId="0" ref="E84">
      <text>
        <t xml:space="preserve">Fecha según EDATE a partir del primer vencimiento. No ajusta automáticamente feriados.</t>
      </text>
    </comment>
    <comment authorId="0" ref="F84">
      <text>
        <t xml:space="preserve">Capital al inicio del período en el calendario ORIGINAL, sin recalcular por pagos reales.</t>
      </text>
    </comment>
    <comment authorId="0" ref="G84">
      <text>
        <t xml:space="preserve">Tasa efectiva del mes según la base ingresada.</t>
      </text>
    </comment>
    <comment authorId="0" ref="H84">
      <text>
        <t xml:space="preserve">Interés del período = capital inicial × tasa mensual, redondeado a dos decimales.</t>
      </text>
    </comment>
    <comment authorId="0" ref="I84">
      <text>
        <t xml:space="preserve">Capital e interés pactados. La última cuota ajusta el saldo por redondeo.</t>
      </text>
    </comment>
    <comment authorId="0" ref="J84">
      <text>
        <t xml:space="preserve">Capital amortizado TEÓRICO = cuota base − interés, limitado al saldo.</t>
      </text>
    </comment>
    <comment authorId="0" ref="K84">
      <text>
        <t xml:space="preserve">Seguro y otros cargos fijos del mes.</t>
      </text>
    </comment>
    <comment authorId="0" ref="L84">
      <text>
        <t xml:space="preserve">Cuota base + cargos.</t>
      </text>
    </comment>
    <comment authorId="0" ref="M84">
      <text>
        <t xml:space="preserve">Capital final del calendario teórico. No equivale al saldo real si hay pagos parciales o atrasos.</t>
      </text>
    </comment>
    <comment authorId="0" ref="N84">
      <text>
        <t xml:space="preserve">Suma de pagos válidos del mismo ID y cuota con fecha igual o anterior al corte.</t>
      </text>
    </comment>
    <comment authorId="0" ref="O84">
      <text>
        <t xml:space="preserve">MIN(amortización pactada; MAX(0; pagado − cargos − interés)). No imputa excedentes a otras cuotas.</t>
      </text>
    </comment>
    <comment authorId="0" ref="P84">
      <text>
        <t xml:space="preserve">MAX(0; total pactado − pagado a esta cuota). Incluye capital, interés y cargos pendientes de ESA cuota.</t>
      </text>
    </comment>
    <comment authorId="0" ref="Q84">
      <text>
        <t xml:space="preserve">Días desde vencimiento hasta corte, solo si venció antes del corte y sigue con saldo.</t>
      </text>
    </comment>
    <comment authorId="0" ref="R84">
      <text>
        <t xml:space="preserve">MAX(0; pagado − cuota pactada). Exceso para revisar: no se traspasa a otra cuota.</t>
      </text>
    </comment>
    <comment authorId="0" ref="S84">
      <text>
        <t xml:space="preserve">Pagada, Vencida, Vence hoy, Por vencer o Exceso sin imputar según fecha y saldo al corte.</t>
      </text>
    </comment>
    <comment authorId="0" ref="T84">
      <text>
        <t xml:space="preserve">Auxiliar para encontrar la primera cuota pendiente. El 999999 indica que esta cuota no tiene saldo pendiente o está fuera del plazo, y no es una fecha real.</t>
      </text>
    </comment>
    <comment authorId="0" ref="C85">
      <text>
        <t xml:space="preserve">Crédito al que corresponde esta cuota.</t>
      </text>
    </comment>
    <comment authorId="0" ref="D85">
      <text>
        <t xml:space="preserve">Número de cuota dentro del crédito.</t>
      </text>
    </comment>
    <comment authorId="0" ref="E85">
      <text>
        <t xml:space="preserve">Fecha según EDATE a partir del primer vencimiento. No ajusta automáticamente feriados.</t>
      </text>
    </comment>
    <comment authorId="0" ref="F85">
      <text>
        <t xml:space="preserve">Capital al inicio del período en el calendario ORIGINAL, sin recalcular por pagos reales.</t>
      </text>
    </comment>
    <comment authorId="0" ref="G85">
      <text>
        <t xml:space="preserve">Tasa efectiva del mes según la base ingresada.</t>
      </text>
    </comment>
    <comment authorId="0" ref="H85">
      <text>
        <t xml:space="preserve">Interés del período = capital inicial × tasa mensual, redondeado a dos decimales.</t>
      </text>
    </comment>
    <comment authorId="0" ref="I85">
      <text>
        <t xml:space="preserve">Capital e interés pactados. La última cuota ajusta el saldo por redondeo.</t>
      </text>
    </comment>
    <comment authorId="0" ref="J85">
      <text>
        <t xml:space="preserve">Capital amortizado TEÓRICO = cuota base − interés, limitado al saldo.</t>
      </text>
    </comment>
    <comment authorId="0" ref="K85">
      <text>
        <t xml:space="preserve">Seguro y otros cargos fijos del mes.</t>
      </text>
    </comment>
    <comment authorId="0" ref="L85">
      <text>
        <t xml:space="preserve">Cuota base + cargos.</t>
      </text>
    </comment>
    <comment authorId="0" ref="M85">
      <text>
        <t xml:space="preserve">Capital final del calendario teórico. No equivale al saldo real si hay pagos parciales o atrasos.</t>
      </text>
    </comment>
    <comment authorId="0" ref="N85">
      <text>
        <t xml:space="preserve">Suma de pagos válidos del mismo ID y cuota con fecha igual o anterior al corte.</t>
      </text>
    </comment>
    <comment authorId="0" ref="O85">
      <text>
        <t xml:space="preserve">MIN(amortización pactada; MAX(0; pagado − cargos − interés)). No imputa excedentes a otras cuotas.</t>
      </text>
    </comment>
    <comment authorId="0" ref="P85">
      <text>
        <t xml:space="preserve">MAX(0; total pactado − pagado a esta cuota). Incluye capital, interés y cargos pendientes de ESA cuota.</t>
      </text>
    </comment>
    <comment authorId="0" ref="Q85">
      <text>
        <t xml:space="preserve">Días desde vencimiento hasta corte, solo si venció antes del corte y sigue con saldo.</t>
      </text>
    </comment>
    <comment authorId="0" ref="R85">
      <text>
        <t xml:space="preserve">MAX(0; pagado − cuota pactada). Exceso para revisar: no se traspasa a otra cuota.</t>
      </text>
    </comment>
    <comment authorId="0" ref="S85">
      <text>
        <t xml:space="preserve">Pagada, Vencida, Vence hoy, Por vencer o Exceso sin imputar según fecha y saldo al corte.</t>
      </text>
    </comment>
    <comment authorId="0" ref="T85">
      <text>
        <t xml:space="preserve">Auxiliar para encontrar la primera cuota pendiente. El 999999 indica que esta cuota no tiene saldo pendiente o está fuera del plazo, y no es una fecha real.</t>
      </text>
    </comment>
    <comment authorId="0" ref="C86">
      <text>
        <t xml:space="preserve">Crédito al que corresponde esta cuota.</t>
      </text>
    </comment>
    <comment authorId="0" ref="D86">
      <text>
        <t xml:space="preserve">Número de cuota dentro del crédito.</t>
      </text>
    </comment>
    <comment authorId="0" ref="E86">
      <text>
        <t xml:space="preserve">Fecha según EDATE a partir del primer vencimiento. No ajusta automáticamente feriados.</t>
      </text>
    </comment>
    <comment authorId="0" ref="F86">
      <text>
        <t xml:space="preserve">Capital al inicio del período en el calendario ORIGINAL, sin recalcular por pagos reales.</t>
      </text>
    </comment>
    <comment authorId="0" ref="G86">
      <text>
        <t xml:space="preserve">Tasa efectiva del mes según la base ingresada.</t>
      </text>
    </comment>
    <comment authorId="0" ref="H86">
      <text>
        <t xml:space="preserve">Interés del período = capital inicial × tasa mensual, redondeado a dos decimales.</t>
      </text>
    </comment>
    <comment authorId="0" ref="I86">
      <text>
        <t xml:space="preserve">Capital e interés pactados. La última cuota ajusta el saldo por redondeo.</t>
      </text>
    </comment>
    <comment authorId="0" ref="J86">
      <text>
        <t xml:space="preserve">Capital amortizado TEÓRICO = cuota base − interés, limitado al saldo.</t>
      </text>
    </comment>
    <comment authorId="0" ref="K86">
      <text>
        <t xml:space="preserve">Seguro y otros cargos fijos del mes.</t>
      </text>
    </comment>
    <comment authorId="0" ref="L86">
      <text>
        <t xml:space="preserve">Cuota base + cargos.</t>
      </text>
    </comment>
    <comment authorId="0" ref="M86">
      <text>
        <t xml:space="preserve">Capital final del calendario teórico. No equivale al saldo real si hay pagos parciales o atrasos.</t>
      </text>
    </comment>
    <comment authorId="0" ref="N86">
      <text>
        <t xml:space="preserve">Suma de pagos válidos del mismo ID y cuota con fecha igual o anterior al corte.</t>
      </text>
    </comment>
    <comment authorId="0" ref="O86">
      <text>
        <t xml:space="preserve">MIN(amortización pactada; MAX(0; pagado − cargos − interés)). No imputa excedentes a otras cuotas.</t>
      </text>
    </comment>
    <comment authorId="0" ref="P86">
      <text>
        <t xml:space="preserve">MAX(0; total pactado − pagado a esta cuota). Incluye capital, interés y cargos pendientes de ESA cuota.</t>
      </text>
    </comment>
    <comment authorId="0" ref="Q86">
      <text>
        <t xml:space="preserve">Días desde vencimiento hasta corte, solo si venció antes del corte y sigue con saldo.</t>
      </text>
    </comment>
    <comment authorId="0" ref="R86">
      <text>
        <t xml:space="preserve">MAX(0; pagado − cuota pactada). Exceso para revisar: no se traspasa a otra cuota.</t>
      </text>
    </comment>
    <comment authorId="0" ref="S86">
      <text>
        <t xml:space="preserve">Pagada, Vencida, Vence hoy, Por vencer o Exceso sin imputar según fecha y saldo al corte.</t>
      </text>
    </comment>
    <comment authorId="0" ref="T86">
      <text>
        <t xml:space="preserve">Auxiliar para encontrar la primera cuota pendiente. El 999999 indica que esta cuota no tiene saldo pendiente o está fuera del plazo, y no es una fecha real.</t>
      </text>
    </comment>
    <comment authorId="0" ref="C87">
      <text>
        <t xml:space="preserve">Crédito al que corresponde esta cuota.</t>
      </text>
    </comment>
    <comment authorId="0" ref="D87">
      <text>
        <t xml:space="preserve">Número de cuota dentro del crédito.</t>
      </text>
    </comment>
    <comment authorId="0" ref="E87">
      <text>
        <t xml:space="preserve">Fecha según EDATE a partir del primer vencimiento. No ajusta automáticamente feriados.</t>
      </text>
    </comment>
    <comment authorId="0" ref="F87">
      <text>
        <t xml:space="preserve">Capital al inicio del período en el calendario ORIGINAL, sin recalcular por pagos reales.</t>
      </text>
    </comment>
    <comment authorId="0" ref="G87">
      <text>
        <t xml:space="preserve">Tasa efectiva del mes según la base ingresada.</t>
      </text>
    </comment>
    <comment authorId="0" ref="H87">
      <text>
        <t xml:space="preserve">Interés del período = capital inicial × tasa mensual, redondeado a dos decimales.</t>
      </text>
    </comment>
    <comment authorId="0" ref="I87">
      <text>
        <t xml:space="preserve">Capital e interés pactados. La última cuota ajusta el saldo por redondeo.</t>
      </text>
    </comment>
    <comment authorId="0" ref="J87">
      <text>
        <t xml:space="preserve">Capital amortizado TEÓRICO = cuota base − interés, limitado al saldo.</t>
      </text>
    </comment>
    <comment authorId="0" ref="K87">
      <text>
        <t xml:space="preserve">Seguro y otros cargos fijos del mes.</t>
      </text>
    </comment>
    <comment authorId="0" ref="L87">
      <text>
        <t xml:space="preserve">Cuota base + cargos.</t>
      </text>
    </comment>
    <comment authorId="0" ref="M87">
      <text>
        <t xml:space="preserve">Capital final del calendario teórico. No equivale al saldo real si hay pagos parciales o atrasos.</t>
      </text>
    </comment>
    <comment authorId="0" ref="N87">
      <text>
        <t xml:space="preserve">Suma de pagos válidos del mismo ID y cuota con fecha igual o anterior al corte.</t>
      </text>
    </comment>
    <comment authorId="0" ref="O87">
      <text>
        <t xml:space="preserve">MIN(amortización pactada; MAX(0; pagado − cargos − interés)). No imputa excedentes a otras cuotas.</t>
      </text>
    </comment>
    <comment authorId="0" ref="P87">
      <text>
        <t xml:space="preserve">MAX(0; total pactado − pagado a esta cuota). Incluye capital, interés y cargos pendientes de ESA cuota.</t>
      </text>
    </comment>
    <comment authorId="0" ref="Q87">
      <text>
        <t xml:space="preserve">Días desde vencimiento hasta corte, solo si venció antes del corte y sigue con saldo.</t>
      </text>
    </comment>
    <comment authorId="0" ref="R87">
      <text>
        <t xml:space="preserve">MAX(0; pagado − cuota pactada). Exceso para revisar: no se traspasa a otra cuota.</t>
      </text>
    </comment>
    <comment authorId="0" ref="S87">
      <text>
        <t xml:space="preserve">Pagada, Vencida, Vence hoy, Por vencer o Exceso sin imputar según fecha y saldo al corte.</t>
      </text>
    </comment>
    <comment authorId="0" ref="T87">
      <text>
        <t xml:space="preserve">Auxiliar para encontrar la primera cuota pendiente. El 999999 indica que esta cuota no tiene saldo pendiente o está fuera del plazo, y no es una fecha real.</t>
      </text>
    </comment>
    <comment authorId="0" ref="C88">
      <text>
        <t xml:space="preserve">Crédito al que corresponde esta cuota.</t>
      </text>
    </comment>
    <comment authorId="0" ref="D88">
      <text>
        <t xml:space="preserve">Número de cuota dentro del crédito.</t>
      </text>
    </comment>
    <comment authorId="0" ref="E88">
      <text>
        <t xml:space="preserve">Fecha según EDATE a partir del primer vencimiento. No ajusta automáticamente feriados.</t>
      </text>
    </comment>
    <comment authorId="0" ref="F88">
      <text>
        <t xml:space="preserve">Capital al inicio del período en el calendario ORIGINAL, sin recalcular por pagos reales.</t>
      </text>
    </comment>
    <comment authorId="0" ref="G88">
      <text>
        <t xml:space="preserve">Tasa efectiva del mes según la base ingresada.</t>
      </text>
    </comment>
    <comment authorId="0" ref="H88">
      <text>
        <t xml:space="preserve">Interés del período = capital inicial × tasa mensual, redondeado a dos decimales.</t>
      </text>
    </comment>
    <comment authorId="0" ref="I88">
      <text>
        <t xml:space="preserve">Capital e interés pactados. La última cuota ajusta el saldo por redondeo.</t>
      </text>
    </comment>
    <comment authorId="0" ref="J88">
      <text>
        <t xml:space="preserve">Capital amortizado TEÓRICO = cuota base − interés, limitado al saldo.</t>
      </text>
    </comment>
    <comment authorId="0" ref="K88">
      <text>
        <t xml:space="preserve">Seguro y otros cargos fijos del mes.</t>
      </text>
    </comment>
    <comment authorId="0" ref="L88">
      <text>
        <t xml:space="preserve">Cuota base + cargos.</t>
      </text>
    </comment>
    <comment authorId="0" ref="M88">
      <text>
        <t xml:space="preserve">Capital final del calendario teórico. No equivale al saldo real si hay pagos parciales o atrasos.</t>
      </text>
    </comment>
    <comment authorId="0" ref="N88">
      <text>
        <t xml:space="preserve">Suma de pagos válidos del mismo ID y cuota con fecha igual o anterior al corte.</t>
      </text>
    </comment>
    <comment authorId="0" ref="O88">
      <text>
        <t xml:space="preserve">MIN(amortización pactada; MAX(0; pagado − cargos − interés)). No imputa excedentes a otras cuotas.</t>
      </text>
    </comment>
    <comment authorId="0" ref="P88">
      <text>
        <t xml:space="preserve">MAX(0; total pactado − pagado a esta cuota). Incluye capital, interés y cargos pendientes de ESA cuota.</t>
      </text>
    </comment>
    <comment authorId="0" ref="Q88">
      <text>
        <t xml:space="preserve">Días desde vencimiento hasta corte, solo si venció antes del corte y sigue con saldo.</t>
      </text>
    </comment>
    <comment authorId="0" ref="R88">
      <text>
        <t xml:space="preserve">MAX(0; pagado − cuota pactada). Exceso para revisar: no se traspasa a otra cuota.</t>
      </text>
    </comment>
    <comment authorId="0" ref="S88">
      <text>
        <t xml:space="preserve">Pagada, Vencida, Vence hoy, Por vencer o Exceso sin imputar según fecha y saldo al corte.</t>
      </text>
    </comment>
    <comment authorId="0" ref="T88">
      <text>
        <t xml:space="preserve">Auxiliar para encontrar la primera cuota pendiente. El 999999 indica que esta cuota no tiene saldo pendiente o está fuera del plazo, y no es una fecha real.</t>
      </text>
    </comment>
    <comment authorId="0" ref="C89">
      <text>
        <t xml:space="preserve">Crédito al que corresponde esta cuota.</t>
      </text>
    </comment>
    <comment authorId="0" ref="D89">
      <text>
        <t xml:space="preserve">Número de cuota dentro del crédito.</t>
      </text>
    </comment>
    <comment authorId="0" ref="E89">
      <text>
        <t xml:space="preserve">Fecha según EDATE a partir del primer vencimiento. No ajusta automáticamente feriados.</t>
      </text>
    </comment>
    <comment authorId="0" ref="F89">
      <text>
        <t xml:space="preserve">Capital al inicio del período en el calendario ORIGINAL, sin recalcular por pagos reales.</t>
      </text>
    </comment>
    <comment authorId="0" ref="G89">
      <text>
        <t xml:space="preserve">Tasa efectiva del mes según la base ingresada.</t>
      </text>
    </comment>
    <comment authorId="0" ref="H89">
      <text>
        <t xml:space="preserve">Interés del período = capital inicial × tasa mensual, redondeado a dos decimales.</t>
      </text>
    </comment>
    <comment authorId="0" ref="I89">
      <text>
        <t xml:space="preserve">Capital e interés pactados. La última cuota ajusta el saldo por redondeo.</t>
      </text>
    </comment>
    <comment authorId="0" ref="J89">
      <text>
        <t xml:space="preserve">Capital amortizado TEÓRICO = cuota base − interés, limitado al saldo.</t>
      </text>
    </comment>
    <comment authorId="0" ref="K89">
      <text>
        <t xml:space="preserve">Seguro y otros cargos fijos del mes.</t>
      </text>
    </comment>
    <comment authorId="0" ref="L89">
      <text>
        <t xml:space="preserve">Cuota base + cargos.</t>
      </text>
    </comment>
    <comment authorId="0" ref="M89">
      <text>
        <t xml:space="preserve">Capital final del calendario teórico. No equivale al saldo real si hay pagos parciales o atrasos.</t>
      </text>
    </comment>
    <comment authorId="0" ref="N89">
      <text>
        <t xml:space="preserve">Suma de pagos válidos del mismo ID y cuota con fecha igual o anterior al corte.</t>
      </text>
    </comment>
    <comment authorId="0" ref="O89">
      <text>
        <t xml:space="preserve">MIN(amortización pactada; MAX(0; pagado − cargos − interés)). No imputa excedentes a otras cuotas.</t>
      </text>
    </comment>
    <comment authorId="0" ref="P89">
      <text>
        <t xml:space="preserve">MAX(0; total pactado − pagado a esta cuota). Incluye capital, interés y cargos pendientes de ESA cuota.</t>
      </text>
    </comment>
    <comment authorId="0" ref="Q89">
      <text>
        <t xml:space="preserve">Días desde vencimiento hasta corte, solo si venció antes del corte y sigue con saldo.</t>
      </text>
    </comment>
    <comment authorId="0" ref="R89">
      <text>
        <t xml:space="preserve">MAX(0; pagado − cuota pactada). Exceso para revisar: no se traspasa a otra cuota.</t>
      </text>
    </comment>
    <comment authorId="0" ref="S89">
      <text>
        <t xml:space="preserve">Pagada, Vencida, Vence hoy, Por vencer o Exceso sin imputar según fecha y saldo al corte.</t>
      </text>
    </comment>
    <comment authorId="0" ref="T89">
      <text>
        <t xml:space="preserve">Auxiliar para encontrar la primera cuota pendiente. El 999999 indica que esta cuota no tiene saldo pendiente o está fuera del plazo, y no es una fecha real.</t>
      </text>
    </comment>
    <comment authorId="0" ref="C90">
      <text>
        <t xml:space="preserve">Crédito al que corresponde esta cuota.</t>
      </text>
    </comment>
    <comment authorId="0" ref="D90">
      <text>
        <t xml:space="preserve">Número de cuota dentro del crédito.</t>
      </text>
    </comment>
    <comment authorId="0" ref="E90">
      <text>
        <t xml:space="preserve">Fecha según EDATE a partir del primer vencimiento. No ajusta automáticamente feriados.</t>
      </text>
    </comment>
    <comment authorId="0" ref="F90">
      <text>
        <t xml:space="preserve">Capital al inicio del período en el calendario ORIGINAL, sin recalcular por pagos reales.</t>
      </text>
    </comment>
    <comment authorId="0" ref="G90">
      <text>
        <t xml:space="preserve">Tasa efectiva del mes según la base ingresada.</t>
      </text>
    </comment>
    <comment authorId="0" ref="H90">
      <text>
        <t xml:space="preserve">Interés del período = capital inicial × tasa mensual, redondeado a dos decimales.</t>
      </text>
    </comment>
    <comment authorId="0" ref="I90">
      <text>
        <t xml:space="preserve">Capital e interés pactados. La última cuota ajusta el saldo por redondeo.</t>
      </text>
    </comment>
    <comment authorId="0" ref="J90">
      <text>
        <t xml:space="preserve">Capital amortizado TEÓRICO = cuota base − interés, limitado al saldo.</t>
      </text>
    </comment>
    <comment authorId="0" ref="K90">
      <text>
        <t xml:space="preserve">Seguro y otros cargos fijos del mes.</t>
      </text>
    </comment>
    <comment authorId="0" ref="L90">
      <text>
        <t xml:space="preserve">Cuota base + cargos.</t>
      </text>
    </comment>
    <comment authorId="0" ref="M90">
      <text>
        <t xml:space="preserve">Capital final del calendario teórico. No equivale al saldo real si hay pagos parciales o atrasos.</t>
      </text>
    </comment>
    <comment authorId="0" ref="N90">
      <text>
        <t xml:space="preserve">Suma de pagos válidos del mismo ID y cuota con fecha igual o anterior al corte.</t>
      </text>
    </comment>
    <comment authorId="0" ref="O90">
      <text>
        <t xml:space="preserve">MIN(amortización pactada; MAX(0; pagado − cargos − interés)). No imputa excedentes a otras cuotas.</t>
      </text>
    </comment>
    <comment authorId="0" ref="P90">
      <text>
        <t xml:space="preserve">MAX(0; total pactado − pagado a esta cuota). Incluye capital, interés y cargos pendientes de ESA cuota.</t>
      </text>
    </comment>
    <comment authorId="0" ref="Q90">
      <text>
        <t xml:space="preserve">Días desde vencimiento hasta corte, solo si venció antes del corte y sigue con saldo.</t>
      </text>
    </comment>
    <comment authorId="0" ref="R90">
      <text>
        <t xml:space="preserve">MAX(0; pagado − cuota pactada). Exceso para revisar: no se traspasa a otra cuota.</t>
      </text>
    </comment>
    <comment authorId="0" ref="S90">
      <text>
        <t xml:space="preserve">Pagada, Vencida, Vence hoy, Por vencer o Exceso sin imputar según fecha y saldo al corte.</t>
      </text>
    </comment>
    <comment authorId="0" ref="T90">
      <text>
        <t xml:space="preserve">Auxiliar para encontrar la primera cuota pendiente. El 999999 indica que esta cuota no tiene saldo pendiente o está fuera del plazo, y no es una fecha real.</t>
      </text>
    </comment>
    <comment authorId="0" ref="C91">
      <text>
        <t xml:space="preserve">Crédito al que corresponde esta cuota.</t>
      </text>
    </comment>
    <comment authorId="0" ref="D91">
      <text>
        <t xml:space="preserve">Número de cuota dentro del crédito.</t>
      </text>
    </comment>
    <comment authorId="0" ref="E91">
      <text>
        <t xml:space="preserve">Fecha según EDATE a partir del primer vencimiento. No ajusta automáticamente feriados.</t>
      </text>
    </comment>
    <comment authorId="0" ref="F91">
      <text>
        <t xml:space="preserve">Capital al inicio del período en el calendario ORIGINAL, sin recalcular por pagos reales.</t>
      </text>
    </comment>
    <comment authorId="0" ref="G91">
      <text>
        <t xml:space="preserve">Tasa efectiva del mes según la base ingresada.</t>
      </text>
    </comment>
    <comment authorId="0" ref="H91">
      <text>
        <t xml:space="preserve">Interés del período = capital inicial × tasa mensual, redondeado a dos decimales.</t>
      </text>
    </comment>
    <comment authorId="0" ref="I91">
      <text>
        <t xml:space="preserve">Capital e interés pactados. La última cuota ajusta el saldo por redondeo.</t>
      </text>
    </comment>
    <comment authorId="0" ref="J91">
      <text>
        <t xml:space="preserve">Capital amortizado TEÓRICO = cuota base − interés, limitado al saldo.</t>
      </text>
    </comment>
    <comment authorId="0" ref="K91">
      <text>
        <t xml:space="preserve">Seguro y otros cargos fijos del mes.</t>
      </text>
    </comment>
    <comment authorId="0" ref="L91">
      <text>
        <t xml:space="preserve">Cuota base + cargos.</t>
      </text>
    </comment>
    <comment authorId="0" ref="M91">
      <text>
        <t xml:space="preserve">Capital final del calendario teórico. No equivale al saldo real si hay pagos parciales o atrasos.</t>
      </text>
    </comment>
    <comment authorId="0" ref="N91">
      <text>
        <t xml:space="preserve">Suma de pagos válidos del mismo ID y cuota con fecha igual o anterior al corte.</t>
      </text>
    </comment>
    <comment authorId="0" ref="O91">
      <text>
        <t xml:space="preserve">MIN(amortización pactada; MAX(0; pagado − cargos − interés)). No imputa excedentes a otras cuotas.</t>
      </text>
    </comment>
    <comment authorId="0" ref="P91">
      <text>
        <t xml:space="preserve">MAX(0; total pactado − pagado a esta cuota). Incluye capital, interés y cargos pendientes de ESA cuota.</t>
      </text>
    </comment>
    <comment authorId="0" ref="Q91">
      <text>
        <t xml:space="preserve">Días desde vencimiento hasta corte, solo si venció antes del corte y sigue con saldo.</t>
      </text>
    </comment>
    <comment authorId="0" ref="R91">
      <text>
        <t xml:space="preserve">MAX(0; pagado − cuota pactada). Exceso para revisar: no se traspasa a otra cuota.</t>
      </text>
    </comment>
    <comment authorId="0" ref="S91">
      <text>
        <t xml:space="preserve">Pagada, Vencida, Vence hoy, Por vencer o Exceso sin imputar según fecha y saldo al corte.</t>
      </text>
    </comment>
    <comment authorId="0" ref="T91">
      <text>
        <t xml:space="preserve">Auxiliar para encontrar la primera cuota pendiente. El 999999 indica que esta cuota no tiene saldo pendiente o está fuera del plazo, y no es una fecha real.</t>
      </text>
    </comment>
    <comment authorId="0" ref="C92">
      <text>
        <t xml:space="preserve">Crédito al que corresponde esta cuota.</t>
      </text>
    </comment>
    <comment authorId="0" ref="D92">
      <text>
        <t xml:space="preserve">Número de cuota dentro del crédito.</t>
      </text>
    </comment>
    <comment authorId="0" ref="E92">
      <text>
        <t xml:space="preserve">Fecha según EDATE a partir del primer vencimiento. No ajusta automáticamente feriados.</t>
      </text>
    </comment>
    <comment authorId="0" ref="F92">
      <text>
        <t xml:space="preserve">Capital al inicio del período en el calendario ORIGINAL, sin recalcular por pagos reales.</t>
      </text>
    </comment>
    <comment authorId="0" ref="G92">
      <text>
        <t xml:space="preserve">Tasa efectiva del mes según la base ingresada.</t>
      </text>
    </comment>
    <comment authorId="0" ref="H92">
      <text>
        <t xml:space="preserve">Interés del período = capital inicial × tasa mensual, redondeado a dos decimales.</t>
      </text>
    </comment>
    <comment authorId="0" ref="I92">
      <text>
        <t xml:space="preserve">Capital e interés pactados. La última cuota ajusta el saldo por redondeo.</t>
      </text>
    </comment>
    <comment authorId="0" ref="J92">
      <text>
        <t xml:space="preserve">Capital amortizado TEÓRICO = cuota base − interés, limitado al saldo.</t>
      </text>
    </comment>
    <comment authorId="0" ref="K92">
      <text>
        <t xml:space="preserve">Seguro y otros cargos fijos del mes.</t>
      </text>
    </comment>
    <comment authorId="0" ref="L92">
      <text>
        <t xml:space="preserve">Cuota base + cargos.</t>
      </text>
    </comment>
    <comment authorId="0" ref="M92">
      <text>
        <t xml:space="preserve">Capital final del calendario teórico. No equivale al saldo real si hay pagos parciales o atrasos.</t>
      </text>
    </comment>
    <comment authorId="0" ref="N92">
      <text>
        <t xml:space="preserve">Suma de pagos válidos del mismo ID y cuota con fecha igual o anterior al corte.</t>
      </text>
    </comment>
    <comment authorId="0" ref="O92">
      <text>
        <t xml:space="preserve">MIN(amortización pactada; MAX(0; pagado − cargos − interés)). No imputa excedentes a otras cuotas.</t>
      </text>
    </comment>
    <comment authorId="0" ref="P92">
      <text>
        <t xml:space="preserve">MAX(0; total pactado − pagado a esta cuota). Incluye capital, interés y cargos pendientes de ESA cuota.</t>
      </text>
    </comment>
    <comment authorId="0" ref="Q92">
      <text>
        <t xml:space="preserve">Días desde vencimiento hasta corte, solo si venció antes del corte y sigue con saldo.</t>
      </text>
    </comment>
    <comment authorId="0" ref="R92">
      <text>
        <t xml:space="preserve">MAX(0; pagado − cuota pactada). Exceso para revisar: no se traspasa a otra cuota.</t>
      </text>
    </comment>
    <comment authorId="0" ref="S92">
      <text>
        <t xml:space="preserve">Pagada, Vencida, Vence hoy, Por vencer o Exceso sin imputar según fecha y saldo al corte.</t>
      </text>
    </comment>
    <comment authorId="0" ref="T92">
      <text>
        <t xml:space="preserve">Auxiliar para encontrar la primera cuota pendiente. El 999999 indica que esta cuota no tiene saldo pendiente o está fuera del plazo, y no es una fecha real.</t>
      </text>
    </comment>
    <comment authorId="0" ref="C93">
      <text>
        <t xml:space="preserve">Crédito al que corresponde esta cuota.</t>
      </text>
    </comment>
    <comment authorId="0" ref="D93">
      <text>
        <t xml:space="preserve">Número de cuota dentro del crédito.</t>
      </text>
    </comment>
    <comment authorId="0" ref="E93">
      <text>
        <t xml:space="preserve">Fecha según EDATE a partir del primer vencimiento. No ajusta automáticamente feriados.</t>
      </text>
    </comment>
    <comment authorId="0" ref="F93">
      <text>
        <t xml:space="preserve">Capital al inicio del período en el calendario ORIGINAL, sin recalcular por pagos reales.</t>
      </text>
    </comment>
    <comment authorId="0" ref="G93">
      <text>
        <t xml:space="preserve">Tasa efectiva del mes según la base ingresada.</t>
      </text>
    </comment>
    <comment authorId="0" ref="H93">
      <text>
        <t xml:space="preserve">Interés del período = capital inicial × tasa mensual, redondeado a dos decimales.</t>
      </text>
    </comment>
    <comment authorId="0" ref="I93">
      <text>
        <t xml:space="preserve">Capital e interés pactados. La última cuota ajusta el saldo por redondeo.</t>
      </text>
    </comment>
    <comment authorId="0" ref="J93">
      <text>
        <t xml:space="preserve">Capital amortizado TEÓRICO = cuota base − interés, limitado al saldo.</t>
      </text>
    </comment>
    <comment authorId="0" ref="K93">
      <text>
        <t xml:space="preserve">Seguro y otros cargos fijos del mes.</t>
      </text>
    </comment>
    <comment authorId="0" ref="L93">
      <text>
        <t xml:space="preserve">Cuota base + cargos.</t>
      </text>
    </comment>
    <comment authorId="0" ref="M93">
      <text>
        <t xml:space="preserve">Capital final del calendario teórico. No equivale al saldo real si hay pagos parciales o atrasos.</t>
      </text>
    </comment>
    <comment authorId="0" ref="N93">
      <text>
        <t xml:space="preserve">Suma de pagos válidos del mismo ID y cuota con fecha igual o anterior al corte.</t>
      </text>
    </comment>
    <comment authorId="0" ref="O93">
      <text>
        <t xml:space="preserve">MIN(amortización pactada; MAX(0; pagado − cargos − interés)). No imputa excedentes a otras cuotas.</t>
      </text>
    </comment>
    <comment authorId="0" ref="P93">
      <text>
        <t xml:space="preserve">MAX(0; total pactado − pagado a esta cuota). Incluye capital, interés y cargos pendientes de ESA cuota.</t>
      </text>
    </comment>
    <comment authorId="0" ref="Q93">
      <text>
        <t xml:space="preserve">Días desde vencimiento hasta corte, solo si venció antes del corte y sigue con saldo.</t>
      </text>
    </comment>
    <comment authorId="0" ref="R93">
      <text>
        <t xml:space="preserve">MAX(0; pagado − cuota pactada). Exceso para revisar: no se traspasa a otra cuota.</t>
      </text>
    </comment>
    <comment authorId="0" ref="S93">
      <text>
        <t xml:space="preserve">Pagada, Vencida, Vence hoy, Por vencer o Exceso sin imputar según fecha y saldo al corte.</t>
      </text>
    </comment>
    <comment authorId="0" ref="T93">
      <text>
        <t xml:space="preserve">Auxiliar para encontrar la primera cuota pendiente. El 999999 indica que esta cuota no tiene saldo pendiente o está fuera del plazo, y no es una fecha real.</t>
      </text>
    </comment>
    <comment authorId="0" ref="C94">
      <text>
        <t xml:space="preserve">Crédito al que corresponde esta cuota.</t>
      </text>
    </comment>
    <comment authorId="0" ref="D94">
      <text>
        <t xml:space="preserve">Número de cuota dentro del crédito.</t>
      </text>
    </comment>
    <comment authorId="0" ref="E94">
      <text>
        <t xml:space="preserve">Fecha según EDATE a partir del primer vencimiento. No ajusta automáticamente feriados.</t>
      </text>
    </comment>
    <comment authorId="0" ref="F94">
      <text>
        <t xml:space="preserve">Capital al inicio del período en el calendario ORIGINAL, sin recalcular por pagos reales.</t>
      </text>
    </comment>
    <comment authorId="0" ref="G94">
      <text>
        <t xml:space="preserve">Tasa efectiva del mes según la base ingresada.</t>
      </text>
    </comment>
    <comment authorId="0" ref="H94">
      <text>
        <t xml:space="preserve">Interés del período = capital inicial × tasa mensual, redondeado a dos decimales.</t>
      </text>
    </comment>
    <comment authorId="0" ref="I94">
      <text>
        <t xml:space="preserve">Capital e interés pactados. La última cuota ajusta el saldo por redondeo.</t>
      </text>
    </comment>
    <comment authorId="0" ref="J94">
      <text>
        <t xml:space="preserve">Capital amortizado TEÓRICO = cuota base − interés, limitado al saldo.</t>
      </text>
    </comment>
    <comment authorId="0" ref="K94">
      <text>
        <t xml:space="preserve">Seguro y otros cargos fijos del mes.</t>
      </text>
    </comment>
    <comment authorId="0" ref="L94">
      <text>
        <t xml:space="preserve">Cuota base + cargos.</t>
      </text>
    </comment>
    <comment authorId="0" ref="M94">
      <text>
        <t xml:space="preserve">Capital final del calendario teórico. No equivale al saldo real si hay pagos parciales o atrasos.</t>
      </text>
    </comment>
    <comment authorId="0" ref="N94">
      <text>
        <t xml:space="preserve">Suma de pagos válidos del mismo ID y cuota con fecha igual o anterior al corte.</t>
      </text>
    </comment>
    <comment authorId="0" ref="O94">
      <text>
        <t xml:space="preserve">MIN(amortización pactada; MAX(0; pagado − cargos − interés)). No imputa excedentes a otras cuotas.</t>
      </text>
    </comment>
    <comment authorId="0" ref="P94">
      <text>
        <t xml:space="preserve">MAX(0; total pactado − pagado a esta cuota). Incluye capital, interés y cargos pendientes de ESA cuota.</t>
      </text>
    </comment>
    <comment authorId="0" ref="Q94">
      <text>
        <t xml:space="preserve">Días desde vencimiento hasta corte, solo si venció antes del corte y sigue con saldo.</t>
      </text>
    </comment>
    <comment authorId="0" ref="R94">
      <text>
        <t xml:space="preserve">MAX(0; pagado − cuota pactada). Exceso para revisar: no se traspasa a otra cuota.</t>
      </text>
    </comment>
    <comment authorId="0" ref="S94">
      <text>
        <t xml:space="preserve">Pagada, Vencida, Vence hoy, Por vencer o Exceso sin imputar según fecha y saldo al corte.</t>
      </text>
    </comment>
    <comment authorId="0" ref="T94">
      <text>
        <t xml:space="preserve">Auxiliar para encontrar la primera cuota pendiente. El 999999 indica que esta cuota no tiene saldo pendiente o está fuera del plazo, y no es una fecha real.</t>
      </text>
    </comment>
    <comment authorId="0" ref="C95">
      <text>
        <t xml:space="preserve">Crédito al que corresponde esta cuota.</t>
      </text>
    </comment>
    <comment authorId="0" ref="D95">
      <text>
        <t xml:space="preserve">Número de cuota dentro del crédito.</t>
      </text>
    </comment>
    <comment authorId="0" ref="E95">
      <text>
        <t xml:space="preserve">Fecha según EDATE a partir del primer vencimiento. No ajusta automáticamente feriados.</t>
      </text>
    </comment>
    <comment authorId="0" ref="F95">
      <text>
        <t xml:space="preserve">Capital al inicio del período en el calendario ORIGINAL, sin recalcular por pagos reales.</t>
      </text>
    </comment>
    <comment authorId="0" ref="G95">
      <text>
        <t xml:space="preserve">Tasa efectiva del mes según la base ingresada.</t>
      </text>
    </comment>
    <comment authorId="0" ref="H95">
      <text>
        <t xml:space="preserve">Interés del período = capital inicial × tasa mensual, redondeado a dos decimales.</t>
      </text>
    </comment>
    <comment authorId="0" ref="I95">
      <text>
        <t xml:space="preserve">Capital e interés pactados. La última cuota ajusta el saldo por redondeo.</t>
      </text>
    </comment>
    <comment authorId="0" ref="J95">
      <text>
        <t xml:space="preserve">Capital amortizado TEÓRICO = cuota base − interés, limitado al saldo.</t>
      </text>
    </comment>
    <comment authorId="0" ref="K95">
      <text>
        <t xml:space="preserve">Seguro y otros cargos fijos del mes.</t>
      </text>
    </comment>
    <comment authorId="0" ref="L95">
      <text>
        <t xml:space="preserve">Cuota base + cargos.</t>
      </text>
    </comment>
    <comment authorId="0" ref="M95">
      <text>
        <t xml:space="preserve">Capital final del calendario teórico. No equivale al saldo real si hay pagos parciales o atrasos.</t>
      </text>
    </comment>
    <comment authorId="0" ref="N95">
      <text>
        <t xml:space="preserve">Suma de pagos válidos del mismo ID y cuota con fecha igual o anterior al corte.</t>
      </text>
    </comment>
    <comment authorId="0" ref="O95">
      <text>
        <t xml:space="preserve">MIN(amortización pactada; MAX(0; pagado − cargos − interés)). No imputa excedentes a otras cuotas.</t>
      </text>
    </comment>
    <comment authorId="0" ref="P95">
      <text>
        <t xml:space="preserve">MAX(0; total pactado − pagado a esta cuota). Incluye capital, interés y cargos pendientes de ESA cuota.</t>
      </text>
    </comment>
    <comment authorId="0" ref="Q95">
      <text>
        <t xml:space="preserve">Días desde vencimiento hasta corte, solo si venció antes del corte y sigue con saldo.</t>
      </text>
    </comment>
    <comment authorId="0" ref="R95">
      <text>
        <t xml:space="preserve">MAX(0; pagado − cuota pactada). Exceso para revisar: no se traspasa a otra cuota.</t>
      </text>
    </comment>
    <comment authorId="0" ref="S95">
      <text>
        <t xml:space="preserve">Pagada, Vencida, Vence hoy, Por vencer o Exceso sin imputar según fecha y saldo al corte.</t>
      </text>
    </comment>
    <comment authorId="0" ref="T95">
      <text>
        <t xml:space="preserve">Auxiliar para encontrar la primera cuota pendiente. El 999999 indica que esta cuota no tiene saldo pendiente o está fuera del plazo, y no es una fecha real.</t>
      </text>
    </comment>
    <comment authorId="0" ref="C96">
      <text>
        <t xml:space="preserve">Crédito al que corresponde esta cuota.</t>
      </text>
    </comment>
    <comment authorId="0" ref="D96">
      <text>
        <t xml:space="preserve">Número de cuota dentro del crédito.</t>
      </text>
    </comment>
    <comment authorId="0" ref="E96">
      <text>
        <t xml:space="preserve">Fecha según EDATE a partir del primer vencimiento. No ajusta automáticamente feriados.</t>
      </text>
    </comment>
    <comment authorId="0" ref="F96">
      <text>
        <t xml:space="preserve">Capital al inicio del período en el calendario ORIGINAL, sin recalcular por pagos reales.</t>
      </text>
    </comment>
    <comment authorId="0" ref="G96">
      <text>
        <t xml:space="preserve">Tasa efectiva del mes según la base ingresada.</t>
      </text>
    </comment>
    <comment authorId="0" ref="H96">
      <text>
        <t xml:space="preserve">Interés del período = capital inicial × tasa mensual, redondeado a dos decimales.</t>
      </text>
    </comment>
    <comment authorId="0" ref="I96">
      <text>
        <t xml:space="preserve">Capital e interés pactados. La última cuota ajusta el saldo por redondeo.</t>
      </text>
    </comment>
    <comment authorId="0" ref="J96">
      <text>
        <t xml:space="preserve">Capital amortizado TEÓRICO = cuota base − interés, limitado al saldo.</t>
      </text>
    </comment>
    <comment authorId="0" ref="K96">
      <text>
        <t xml:space="preserve">Seguro y otros cargos fijos del mes.</t>
      </text>
    </comment>
    <comment authorId="0" ref="L96">
      <text>
        <t xml:space="preserve">Cuota base + cargos.</t>
      </text>
    </comment>
    <comment authorId="0" ref="M96">
      <text>
        <t xml:space="preserve">Capital final del calendario teórico. No equivale al saldo real si hay pagos parciales o atrasos.</t>
      </text>
    </comment>
    <comment authorId="0" ref="N96">
      <text>
        <t xml:space="preserve">Suma de pagos válidos del mismo ID y cuota con fecha igual o anterior al corte.</t>
      </text>
    </comment>
    <comment authorId="0" ref="O96">
      <text>
        <t xml:space="preserve">MIN(amortización pactada; MAX(0; pagado − cargos − interés)). No imputa excedentes a otras cuotas.</t>
      </text>
    </comment>
    <comment authorId="0" ref="P96">
      <text>
        <t xml:space="preserve">MAX(0; total pactado − pagado a esta cuota). Incluye capital, interés y cargos pendientes de ESA cuota.</t>
      </text>
    </comment>
    <comment authorId="0" ref="Q96">
      <text>
        <t xml:space="preserve">Días desde vencimiento hasta corte, solo si venció antes del corte y sigue con saldo.</t>
      </text>
    </comment>
    <comment authorId="0" ref="R96">
      <text>
        <t xml:space="preserve">MAX(0; pagado − cuota pactada). Exceso para revisar: no se traspasa a otra cuota.</t>
      </text>
    </comment>
    <comment authorId="0" ref="S96">
      <text>
        <t xml:space="preserve">Pagada, Vencida, Vence hoy, Por vencer o Exceso sin imputar según fecha y saldo al corte.</t>
      </text>
    </comment>
    <comment authorId="0" ref="T96">
      <text>
        <t xml:space="preserve">Auxiliar para encontrar la primera cuota pendiente. El 999999 indica que esta cuota no tiene saldo pendiente o está fuera del plazo, y no es una fecha real.</t>
      </text>
    </comment>
    <comment authorId="0" ref="C97">
      <text>
        <t xml:space="preserve">Crédito al que corresponde esta cuota.</t>
      </text>
    </comment>
    <comment authorId="0" ref="D97">
      <text>
        <t xml:space="preserve">Número de cuota dentro del crédito.</t>
      </text>
    </comment>
    <comment authorId="0" ref="E97">
      <text>
        <t xml:space="preserve">Fecha según EDATE a partir del primer vencimiento. No ajusta automáticamente feriados.</t>
      </text>
    </comment>
    <comment authorId="0" ref="F97">
      <text>
        <t xml:space="preserve">Capital al inicio del período en el calendario ORIGINAL, sin recalcular por pagos reales.</t>
      </text>
    </comment>
    <comment authorId="0" ref="G97">
      <text>
        <t xml:space="preserve">Tasa efectiva del mes según la base ingresada.</t>
      </text>
    </comment>
    <comment authorId="0" ref="H97">
      <text>
        <t xml:space="preserve">Interés del período = capital inicial × tasa mensual, redondeado a dos decimales.</t>
      </text>
    </comment>
    <comment authorId="0" ref="I97">
      <text>
        <t xml:space="preserve">Capital e interés pactados. La última cuota ajusta el saldo por redondeo.</t>
      </text>
    </comment>
    <comment authorId="0" ref="J97">
      <text>
        <t xml:space="preserve">Capital amortizado TEÓRICO = cuota base − interés, limitado al saldo.</t>
      </text>
    </comment>
    <comment authorId="0" ref="K97">
      <text>
        <t xml:space="preserve">Seguro y otros cargos fijos del mes.</t>
      </text>
    </comment>
    <comment authorId="0" ref="L97">
      <text>
        <t xml:space="preserve">Cuota base + cargos.</t>
      </text>
    </comment>
    <comment authorId="0" ref="M97">
      <text>
        <t xml:space="preserve">Capital final del calendario teórico. No equivale al saldo real si hay pagos parciales o atrasos.</t>
      </text>
    </comment>
    <comment authorId="0" ref="N97">
      <text>
        <t xml:space="preserve">Suma de pagos válidos del mismo ID y cuota con fecha igual o anterior al corte.</t>
      </text>
    </comment>
    <comment authorId="0" ref="O97">
      <text>
        <t xml:space="preserve">MIN(amortización pactada; MAX(0; pagado − cargos − interés)). No imputa excedentes a otras cuotas.</t>
      </text>
    </comment>
    <comment authorId="0" ref="P97">
      <text>
        <t xml:space="preserve">MAX(0; total pactado − pagado a esta cuota). Incluye capital, interés y cargos pendientes de ESA cuota.</t>
      </text>
    </comment>
    <comment authorId="0" ref="Q97">
      <text>
        <t xml:space="preserve">Días desde vencimiento hasta corte, solo si venció antes del corte y sigue con saldo.</t>
      </text>
    </comment>
    <comment authorId="0" ref="R97">
      <text>
        <t xml:space="preserve">MAX(0; pagado − cuota pactada). Exceso para revisar: no se traspasa a otra cuota.</t>
      </text>
    </comment>
    <comment authorId="0" ref="S97">
      <text>
        <t xml:space="preserve">Pagada, Vencida, Vence hoy, Por vencer o Exceso sin imputar según fecha y saldo al corte.</t>
      </text>
    </comment>
    <comment authorId="0" ref="T97">
      <text>
        <t xml:space="preserve">Auxiliar para encontrar la primera cuota pendiente. El 999999 indica que esta cuota no tiene saldo pendiente o está fuera del plazo, y no es una fecha real.</t>
      </text>
    </comment>
    <comment authorId="0" ref="C98">
      <text>
        <t xml:space="preserve">Crédito al que corresponde esta cuota.</t>
      </text>
    </comment>
    <comment authorId="0" ref="D98">
      <text>
        <t xml:space="preserve">Número de cuota dentro del crédito.</t>
      </text>
    </comment>
    <comment authorId="0" ref="E98">
      <text>
        <t xml:space="preserve">Fecha según EDATE a partir del primer vencimiento. No ajusta automáticamente feriados.</t>
      </text>
    </comment>
    <comment authorId="0" ref="F98">
      <text>
        <t xml:space="preserve">Capital al inicio del período en el calendario ORIGINAL, sin recalcular por pagos reales.</t>
      </text>
    </comment>
    <comment authorId="0" ref="G98">
      <text>
        <t xml:space="preserve">Tasa efectiva del mes según la base ingresada.</t>
      </text>
    </comment>
    <comment authorId="0" ref="H98">
      <text>
        <t xml:space="preserve">Interés del período = capital inicial × tasa mensual, redondeado a dos decimales.</t>
      </text>
    </comment>
    <comment authorId="0" ref="I98">
      <text>
        <t xml:space="preserve">Capital e interés pactados. La última cuota ajusta el saldo por redondeo.</t>
      </text>
    </comment>
    <comment authorId="0" ref="J98">
      <text>
        <t xml:space="preserve">Capital amortizado TEÓRICO = cuota base − interés, limitado al saldo.</t>
      </text>
    </comment>
    <comment authorId="0" ref="K98">
      <text>
        <t xml:space="preserve">Seguro y otros cargos fijos del mes.</t>
      </text>
    </comment>
    <comment authorId="0" ref="L98">
      <text>
        <t xml:space="preserve">Cuota base + cargos.</t>
      </text>
    </comment>
    <comment authorId="0" ref="M98">
      <text>
        <t xml:space="preserve">Capital final del calendario teórico. No equivale al saldo real si hay pagos parciales o atrasos.</t>
      </text>
    </comment>
    <comment authorId="0" ref="N98">
      <text>
        <t xml:space="preserve">Suma de pagos válidos del mismo ID y cuota con fecha igual o anterior al corte.</t>
      </text>
    </comment>
    <comment authorId="0" ref="O98">
      <text>
        <t xml:space="preserve">MIN(amortización pactada; MAX(0; pagado − cargos − interés)). No imputa excedentes a otras cuotas.</t>
      </text>
    </comment>
    <comment authorId="0" ref="P98">
      <text>
        <t xml:space="preserve">MAX(0; total pactado − pagado a esta cuota). Incluye capital, interés y cargos pendientes de ESA cuota.</t>
      </text>
    </comment>
    <comment authorId="0" ref="Q98">
      <text>
        <t xml:space="preserve">Días desde vencimiento hasta corte, solo si venció antes del corte y sigue con saldo.</t>
      </text>
    </comment>
    <comment authorId="0" ref="R98">
      <text>
        <t xml:space="preserve">MAX(0; pagado − cuota pactada). Exceso para revisar: no se traspasa a otra cuota.</t>
      </text>
    </comment>
    <comment authorId="0" ref="S98">
      <text>
        <t xml:space="preserve">Pagada, Vencida, Vence hoy, Por vencer o Exceso sin imputar según fecha y saldo al corte.</t>
      </text>
    </comment>
    <comment authorId="0" ref="T98">
      <text>
        <t xml:space="preserve">Auxiliar para encontrar la primera cuota pendiente. El 999999 indica que esta cuota no tiene saldo pendiente o está fuera del plazo, y no es una fecha real.</t>
      </text>
    </comment>
    <comment authorId="0" ref="C99">
      <text>
        <t xml:space="preserve">Crédito al que corresponde esta cuota.</t>
      </text>
    </comment>
    <comment authorId="0" ref="D99">
      <text>
        <t xml:space="preserve">Número de cuota dentro del crédito.</t>
      </text>
    </comment>
    <comment authorId="0" ref="E99">
      <text>
        <t xml:space="preserve">Fecha según EDATE a partir del primer vencimiento. No ajusta automáticamente feriados.</t>
      </text>
    </comment>
    <comment authorId="0" ref="F99">
      <text>
        <t xml:space="preserve">Capital al inicio del período en el calendario ORIGINAL, sin recalcular por pagos reales.</t>
      </text>
    </comment>
    <comment authorId="0" ref="G99">
      <text>
        <t xml:space="preserve">Tasa efectiva del mes según la base ingresada.</t>
      </text>
    </comment>
    <comment authorId="0" ref="H99">
      <text>
        <t xml:space="preserve">Interés del período = capital inicial × tasa mensual, redondeado a dos decimales.</t>
      </text>
    </comment>
    <comment authorId="0" ref="I99">
      <text>
        <t xml:space="preserve">Capital e interés pactados. La última cuota ajusta el saldo por redondeo.</t>
      </text>
    </comment>
    <comment authorId="0" ref="J99">
      <text>
        <t xml:space="preserve">Capital amortizado TEÓRICO = cuota base − interés, limitado al saldo.</t>
      </text>
    </comment>
    <comment authorId="0" ref="K99">
      <text>
        <t xml:space="preserve">Seguro y otros cargos fijos del mes.</t>
      </text>
    </comment>
    <comment authorId="0" ref="L99">
      <text>
        <t xml:space="preserve">Cuota base + cargos.</t>
      </text>
    </comment>
    <comment authorId="0" ref="M99">
      <text>
        <t xml:space="preserve">Capital final del calendario teórico. No equivale al saldo real si hay pagos parciales o atrasos.</t>
      </text>
    </comment>
    <comment authorId="0" ref="N99">
      <text>
        <t xml:space="preserve">Suma de pagos válidos del mismo ID y cuota con fecha igual o anterior al corte.</t>
      </text>
    </comment>
    <comment authorId="0" ref="O99">
      <text>
        <t xml:space="preserve">MIN(amortización pactada; MAX(0; pagado − cargos − interés)). No imputa excedentes a otras cuotas.</t>
      </text>
    </comment>
    <comment authorId="0" ref="P99">
      <text>
        <t xml:space="preserve">MAX(0; total pactado − pagado a esta cuota). Incluye capital, interés y cargos pendientes de ESA cuota.</t>
      </text>
    </comment>
    <comment authorId="0" ref="Q99">
      <text>
        <t xml:space="preserve">Días desde vencimiento hasta corte, solo si venció antes del corte y sigue con saldo.</t>
      </text>
    </comment>
    <comment authorId="0" ref="R99">
      <text>
        <t xml:space="preserve">MAX(0; pagado − cuota pactada). Exceso para revisar: no se traspasa a otra cuota.</t>
      </text>
    </comment>
    <comment authorId="0" ref="S99">
      <text>
        <t xml:space="preserve">Pagada, Vencida, Vence hoy, Por vencer o Exceso sin imputar según fecha y saldo al corte.</t>
      </text>
    </comment>
    <comment authorId="0" ref="T99">
      <text>
        <t xml:space="preserve">Auxiliar para encontrar la primera cuota pendiente. El 999999 indica que esta cuota no tiene saldo pendiente o está fuera del plazo, y no es una fecha real.</t>
      </text>
    </comment>
    <comment authorId="0" ref="C100">
      <text>
        <t xml:space="preserve">Crédito al que corresponde esta cuota.</t>
      </text>
    </comment>
    <comment authorId="0" ref="D100">
      <text>
        <t xml:space="preserve">Número de cuota dentro del crédito.</t>
      </text>
    </comment>
    <comment authorId="0" ref="E100">
      <text>
        <t xml:space="preserve">Fecha según EDATE a partir del primer vencimiento. No ajusta automáticamente feriados.</t>
      </text>
    </comment>
    <comment authorId="0" ref="F100">
      <text>
        <t xml:space="preserve">Capital al inicio del período en el calendario ORIGINAL, sin recalcular por pagos reales.</t>
      </text>
    </comment>
    <comment authorId="0" ref="G100">
      <text>
        <t xml:space="preserve">Tasa efectiva del mes según la base ingresada.</t>
      </text>
    </comment>
    <comment authorId="0" ref="H100">
      <text>
        <t xml:space="preserve">Interés del período = capital inicial × tasa mensual, redondeado a dos decimales.</t>
      </text>
    </comment>
    <comment authorId="0" ref="I100">
      <text>
        <t xml:space="preserve">Capital e interés pactados. La última cuota ajusta el saldo por redondeo.</t>
      </text>
    </comment>
    <comment authorId="0" ref="J100">
      <text>
        <t xml:space="preserve">Capital amortizado TEÓRICO = cuota base − interés, limitado al saldo.</t>
      </text>
    </comment>
    <comment authorId="0" ref="K100">
      <text>
        <t xml:space="preserve">Seguro y otros cargos fijos del mes.</t>
      </text>
    </comment>
    <comment authorId="0" ref="L100">
      <text>
        <t xml:space="preserve">Cuota base + cargos.</t>
      </text>
    </comment>
    <comment authorId="0" ref="M100">
      <text>
        <t xml:space="preserve">Capital final del calendario teórico. No equivale al saldo real si hay pagos parciales o atrasos.</t>
      </text>
    </comment>
    <comment authorId="0" ref="N100">
      <text>
        <t xml:space="preserve">Suma de pagos válidos del mismo ID y cuota con fecha igual o anterior al corte.</t>
      </text>
    </comment>
    <comment authorId="0" ref="O100">
      <text>
        <t xml:space="preserve">MIN(amortización pactada; MAX(0; pagado − cargos − interés)). No imputa excedentes a otras cuotas.</t>
      </text>
    </comment>
    <comment authorId="0" ref="P100">
      <text>
        <t xml:space="preserve">MAX(0; total pactado − pagado a esta cuota). Incluye capital, interés y cargos pendientes de ESA cuota.</t>
      </text>
    </comment>
    <comment authorId="0" ref="Q100">
      <text>
        <t xml:space="preserve">Días desde vencimiento hasta corte, solo si venció antes del corte y sigue con saldo.</t>
      </text>
    </comment>
    <comment authorId="0" ref="R100">
      <text>
        <t xml:space="preserve">MAX(0; pagado − cuota pactada). Exceso para revisar: no se traspasa a otra cuota.</t>
      </text>
    </comment>
    <comment authorId="0" ref="S100">
      <text>
        <t xml:space="preserve">Pagada, Vencida, Vence hoy, Por vencer o Exceso sin imputar según fecha y saldo al corte.</t>
      </text>
    </comment>
    <comment authorId="0" ref="T100">
      <text>
        <t xml:space="preserve">Auxiliar para encontrar la primera cuota pendiente. El 999999 indica que esta cuota no tiene saldo pendiente o está fuera del plazo, y no es una fecha real.</t>
      </text>
    </comment>
    <comment authorId="0" ref="C101">
      <text>
        <t xml:space="preserve">Crédito al que corresponde esta cuota.</t>
      </text>
    </comment>
    <comment authorId="0" ref="D101">
      <text>
        <t xml:space="preserve">Número de cuota dentro del crédito.</t>
      </text>
    </comment>
    <comment authorId="0" ref="E101">
      <text>
        <t xml:space="preserve">Fecha según EDATE a partir del primer vencimiento. No ajusta automáticamente feriados.</t>
      </text>
    </comment>
    <comment authorId="0" ref="F101">
      <text>
        <t xml:space="preserve">Capital al inicio del período en el calendario ORIGINAL, sin recalcular por pagos reales.</t>
      </text>
    </comment>
    <comment authorId="0" ref="G101">
      <text>
        <t xml:space="preserve">Tasa efectiva del mes según la base ingresada.</t>
      </text>
    </comment>
    <comment authorId="0" ref="H101">
      <text>
        <t xml:space="preserve">Interés del período = capital inicial × tasa mensual, redondeado a dos decimales.</t>
      </text>
    </comment>
    <comment authorId="0" ref="I101">
      <text>
        <t xml:space="preserve">Capital e interés pactados. La última cuota ajusta el saldo por redondeo.</t>
      </text>
    </comment>
    <comment authorId="0" ref="J101">
      <text>
        <t xml:space="preserve">Capital amortizado TEÓRICO = cuota base − interés, limitado al saldo.</t>
      </text>
    </comment>
    <comment authorId="0" ref="K101">
      <text>
        <t xml:space="preserve">Seguro y otros cargos fijos del mes.</t>
      </text>
    </comment>
    <comment authorId="0" ref="L101">
      <text>
        <t xml:space="preserve">Cuota base + cargos.</t>
      </text>
    </comment>
    <comment authorId="0" ref="M101">
      <text>
        <t xml:space="preserve">Capital final del calendario teórico. No equivale al saldo real si hay pagos parciales o atrasos.</t>
      </text>
    </comment>
    <comment authorId="0" ref="N101">
      <text>
        <t xml:space="preserve">Suma de pagos válidos del mismo ID y cuota con fecha igual o anterior al corte.</t>
      </text>
    </comment>
    <comment authorId="0" ref="O101">
      <text>
        <t xml:space="preserve">MIN(amortización pactada; MAX(0; pagado − cargos − interés)). No imputa excedentes a otras cuotas.</t>
      </text>
    </comment>
    <comment authorId="0" ref="P101">
      <text>
        <t xml:space="preserve">MAX(0; total pactado − pagado a esta cuota). Incluye capital, interés y cargos pendientes de ESA cuota.</t>
      </text>
    </comment>
    <comment authorId="0" ref="Q101">
      <text>
        <t xml:space="preserve">Días desde vencimiento hasta corte, solo si venció antes del corte y sigue con saldo.</t>
      </text>
    </comment>
    <comment authorId="0" ref="R101">
      <text>
        <t xml:space="preserve">MAX(0; pagado − cuota pactada). Exceso para revisar: no se traspasa a otra cuota.</t>
      </text>
    </comment>
    <comment authorId="0" ref="S101">
      <text>
        <t xml:space="preserve">Pagada, Vencida, Vence hoy, Por vencer o Exceso sin imputar según fecha y saldo al corte.</t>
      </text>
    </comment>
    <comment authorId="0" ref="T101">
      <text>
        <t xml:space="preserve">Auxiliar para encontrar la primera cuota pendiente. El 999999 indica que esta cuota no tiene saldo pendiente o está fuera del plazo, y no es una fecha real.</t>
      </text>
    </comment>
    <comment authorId="0" ref="C102">
      <text>
        <t xml:space="preserve">Crédito al que corresponde esta cuota.</t>
      </text>
    </comment>
    <comment authorId="0" ref="D102">
      <text>
        <t xml:space="preserve">Número de cuota dentro del crédito.</t>
      </text>
    </comment>
    <comment authorId="0" ref="E102">
      <text>
        <t xml:space="preserve">Fecha según EDATE a partir del primer vencimiento. No ajusta automáticamente feriados.</t>
      </text>
    </comment>
    <comment authorId="0" ref="F102">
      <text>
        <t xml:space="preserve">Capital al inicio del período en el calendario ORIGINAL, sin recalcular por pagos reales.</t>
      </text>
    </comment>
    <comment authorId="0" ref="G102">
      <text>
        <t xml:space="preserve">Tasa efectiva del mes según la base ingresada.</t>
      </text>
    </comment>
    <comment authorId="0" ref="H102">
      <text>
        <t xml:space="preserve">Interés del período = capital inicial × tasa mensual, redondeado a dos decimales.</t>
      </text>
    </comment>
    <comment authorId="0" ref="I102">
      <text>
        <t xml:space="preserve">Capital e interés pactados. La última cuota ajusta el saldo por redondeo.</t>
      </text>
    </comment>
    <comment authorId="0" ref="J102">
      <text>
        <t xml:space="preserve">Capital amortizado TEÓRICO = cuota base − interés, limitado al saldo.</t>
      </text>
    </comment>
    <comment authorId="0" ref="K102">
      <text>
        <t xml:space="preserve">Seguro y otros cargos fijos del mes.</t>
      </text>
    </comment>
    <comment authorId="0" ref="L102">
      <text>
        <t xml:space="preserve">Cuota base + cargos.</t>
      </text>
    </comment>
    <comment authorId="0" ref="M102">
      <text>
        <t xml:space="preserve">Capital final del calendario teórico. No equivale al saldo real si hay pagos parciales o atrasos.</t>
      </text>
    </comment>
    <comment authorId="0" ref="N102">
      <text>
        <t xml:space="preserve">Suma de pagos válidos del mismo ID y cuota con fecha igual o anterior al corte.</t>
      </text>
    </comment>
    <comment authorId="0" ref="O102">
      <text>
        <t xml:space="preserve">MIN(amortización pactada; MAX(0; pagado − cargos − interés)). No imputa excedentes a otras cuotas.</t>
      </text>
    </comment>
    <comment authorId="0" ref="P102">
      <text>
        <t xml:space="preserve">MAX(0; total pactado − pagado a esta cuota). Incluye capital, interés y cargos pendientes de ESA cuota.</t>
      </text>
    </comment>
    <comment authorId="0" ref="Q102">
      <text>
        <t xml:space="preserve">Días desde vencimiento hasta corte, solo si venció antes del corte y sigue con saldo.</t>
      </text>
    </comment>
    <comment authorId="0" ref="R102">
      <text>
        <t xml:space="preserve">MAX(0; pagado − cuota pactada). Exceso para revisar: no se traspasa a otra cuota.</t>
      </text>
    </comment>
    <comment authorId="0" ref="S102">
      <text>
        <t xml:space="preserve">Pagada, Vencida, Vence hoy, Por vencer o Exceso sin imputar según fecha y saldo al corte.</t>
      </text>
    </comment>
    <comment authorId="0" ref="T102">
      <text>
        <t xml:space="preserve">Auxiliar para encontrar la primera cuota pendiente. El 999999 indica que esta cuota no tiene saldo pendiente o está fuera del plazo, y no es una fecha real.</t>
      </text>
    </comment>
    <comment authorId="0" ref="C103">
      <text>
        <t xml:space="preserve">Crédito al que corresponde esta cuota.</t>
      </text>
    </comment>
    <comment authorId="0" ref="D103">
      <text>
        <t xml:space="preserve">Número de cuota dentro del crédito.</t>
      </text>
    </comment>
    <comment authorId="0" ref="E103">
      <text>
        <t xml:space="preserve">Fecha según EDATE a partir del primer vencimiento. No ajusta automáticamente feriados.</t>
      </text>
    </comment>
    <comment authorId="0" ref="F103">
      <text>
        <t xml:space="preserve">Capital al inicio del período en el calendario ORIGINAL, sin recalcular por pagos reales.</t>
      </text>
    </comment>
    <comment authorId="0" ref="G103">
      <text>
        <t xml:space="preserve">Tasa efectiva del mes según la base ingresada.</t>
      </text>
    </comment>
    <comment authorId="0" ref="H103">
      <text>
        <t xml:space="preserve">Interés del período = capital inicial × tasa mensual, redondeado a dos decimales.</t>
      </text>
    </comment>
    <comment authorId="0" ref="I103">
      <text>
        <t xml:space="preserve">Capital e interés pactados. La última cuota ajusta el saldo por redondeo.</t>
      </text>
    </comment>
    <comment authorId="0" ref="J103">
      <text>
        <t xml:space="preserve">Capital amortizado TEÓRICO = cuota base − interés, limitado al saldo.</t>
      </text>
    </comment>
    <comment authorId="0" ref="K103">
      <text>
        <t xml:space="preserve">Seguro y otros cargos fijos del mes.</t>
      </text>
    </comment>
    <comment authorId="0" ref="L103">
      <text>
        <t xml:space="preserve">Cuota base + cargos.</t>
      </text>
    </comment>
    <comment authorId="0" ref="M103">
      <text>
        <t xml:space="preserve">Capital final del calendario teórico. No equivale al saldo real si hay pagos parciales o atrasos.</t>
      </text>
    </comment>
    <comment authorId="0" ref="N103">
      <text>
        <t xml:space="preserve">Suma de pagos válidos del mismo ID y cuota con fecha igual o anterior al corte.</t>
      </text>
    </comment>
    <comment authorId="0" ref="O103">
      <text>
        <t xml:space="preserve">MIN(amortización pactada; MAX(0; pagado − cargos − interés)). No imputa excedentes a otras cuotas.</t>
      </text>
    </comment>
    <comment authorId="0" ref="P103">
      <text>
        <t xml:space="preserve">MAX(0; total pactado − pagado a esta cuota). Incluye capital, interés y cargos pendientes de ESA cuota.</t>
      </text>
    </comment>
    <comment authorId="0" ref="Q103">
      <text>
        <t xml:space="preserve">Días desde vencimiento hasta corte, solo si venció antes del corte y sigue con saldo.</t>
      </text>
    </comment>
    <comment authorId="0" ref="R103">
      <text>
        <t xml:space="preserve">MAX(0; pagado − cuota pactada). Exceso para revisar: no se traspasa a otra cuota.</t>
      </text>
    </comment>
    <comment authorId="0" ref="S103">
      <text>
        <t xml:space="preserve">Pagada, Vencida, Vence hoy, Por vencer o Exceso sin imputar según fecha y saldo al corte.</t>
      </text>
    </comment>
    <comment authorId="0" ref="T103">
      <text>
        <t xml:space="preserve">Auxiliar para encontrar la primera cuota pendiente. El 999999 indica que esta cuota no tiene saldo pendiente o está fuera del plazo, y no es una fecha real.</t>
      </text>
    </comment>
    <comment authorId="0" ref="C104">
      <text>
        <t xml:space="preserve">Crédito al que corresponde esta cuota.</t>
      </text>
    </comment>
    <comment authorId="0" ref="D104">
      <text>
        <t xml:space="preserve">Número de cuota dentro del crédito.</t>
      </text>
    </comment>
    <comment authorId="0" ref="E104">
      <text>
        <t xml:space="preserve">Fecha según EDATE a partir del primer vencimiento. No ajusta automáticamente feriados.</t>
      </text>
    </comment>
    <comment authorId="0" ref="F104">
      <text>
        <t xml:space="preserve">Capital al inicio del período en el calendario ORIGINAL, sin recalcular por pagos reales.</t>
      </text>
    </comment>
    <comment authorId="0" ref="G104">
      <text>
        <t xml:space="preserve">Tasa efectiva del mes según la base ingresada.</t>
      </text>
    </comment>
    <comment authorId="0" ref="H104">
      <text>
        <t xml:space="preserve">Interés del período = capital inicial × tasa mensual, redondeado a dos decimales.</t>
      </text>
    </comment>
    <comment authorId="0" ref="I104">
      <text>
        <t xml:space="preserve">Capital e interés pactados. La última cuota ajusta el saldo por redondeo.</t>
      </text>
    </comment>
    <comment authorId="0" ref="J104">
      <text>
        <t xml:space="preserve">Capital amortizado TEÓRICO = cuota base − interés, limitado al saldo.</t>
      </text>
    </comment>
    <comment authorId="0" ref="K104">
      <text>
        <t xml:space="preserve">Seguro y otros cargos fijos del mes.</t>
      </text>
    </comment>
    <comment authorId="0" ref="L104">
      <text>
        <t xml:space="preserve">Cuota base + cargos.</t>
      </text>
    </comment>
    <comment authorId="0" ref="M104">
      <text>
        <t xml:space="preserve">Capital final del calendario teórico. No equivale al saldo real si hay pagos parciales o atrasos.</t>
      </text>
    </comment>
    <comment authorId="0" ref="N104">
      <text>
        <t xml:space="preserve">Suma de pagos válidos del mismo ID y cuota con fecha igual o anterior al corte.</t>
      </text>
    </comment>
    <comment authorId="0" ref="O104">
      <text>
        <t xml:space="preserve">MIN(amortización pactada; MAX(0; pagado − cargos − interés)). No imputa excedentes a otras cuotas.</t>
      </text>
    </comment>
    <comment authorId="0" ref="P104">
      <text>
        <t xml:space="preserve">MAX(0; total pactado − pagado a esta cuota). Incluye capital, interés y cargos pendientes de ESA cuota.</t>
      </text>
    </comment>
    <comment authorId="0" ref="Q104">
      <text>
        <t xml:space="preserve">Días desde vencimiento hasta corte, solo si venció antes del corte y sigue con saldo.</t>
      </text>
    </comment>
    <comment authorId="0" ref="R104">
      <text>
        <t xml:space="preserve">MAX(0; pagado − cuota pactada). Exceso para revisar: no se traspasa a otra cuota.</t>
      </text>
    </comment>
    <comment authorId="0" ref="S104">
      <text>
        <t xml:space="preserve">Pagada, Vencida, Vence hoy, Por vencer o Exceso sin imputar según fecha y saldo al corte.</t>
      </text>
    </comment>
    <comment authorId="0" ref="T104">
      <text>
        <t xml:space="preserve">Auxiliar para encontrar la primera cuota pendiente. El 999999 indica que esta cuota no tiene saldo pendiente o está fuera del plazo, y no es una fecha real.</t>
      </text>
    </comment>
    <comment authorId="0" ref="C105">
      <text>
        <t xml:space="preserve">Crédito al que corresponde esta cuota.</t>
      </text>
    </comment>
    <comment authorId="0" ref="D105">
      <text>
        <t xml:space="preserve">Número de cuota dentro del crédito.</t>
      </text>
    </comment>
    <comment authorId="0" ref="E105">
      <text>
        <t xml:space="preserve">Fecha según EDATE a partir del primer vencimiento. No ajusta automáticamente feriados.</t>
      </text>
    </comment>
    <comment authorId="0" ref="F105">
      <text>
        <t xml:space="preserve">Capital al inicio del período en el calendario ORIGINAL, sin recalcular por pagos reales.</t>
      </text>
    </comment>
    <comment authorId="0" ref="G105">
      <text>
        <t xml:space="preserve">Tasa efectiva del mes según la base ingresada.</t>
      </text>
    </comment>
    <comment authorId="0" ref="H105">
      <text>
        <t xml:space="preserve">Interés del período = capital inicial × tasa mensual, redondeado a dos decimales.</t>
      </text>
    </comment>
    <comment authorId="0" ref="I105">
      <text>
        <t xml:space="preserve">Capital e interés pactados. La última cuota ajusta el saldo por redondeo.</t>
      </text>
    </comment>
    <comment authorId="0" ref="J105">
      <text>
        <t xml:space="preserve">Capital amortizado TEÓRICO = cuota base − interés, limitado al saldo.</t>
      </text>
    </comment>
    <comment authorId="0" ref="K105">
      <text>
        <t xml:space="preserve">Seguro y otros cargos fijos del mes.</t>
      </text>
    </comment>
    <comment authorId="0" ref="L105">
      <text>
        <t xml:space="preserve">Cuota base + cargos.</t>
      </text>
    </comment>
    <comment authorId="0" ref="M105">
      <text>
        <t xml:space="preserve">Capital final del calendario teórico. No equivale al saldo real si hay pagos parciales o atrasos.</t>
      </text>
    </comment>
    <comment authorId="0" ref="N105">
      <text>
        <t xml:space="preserve">Suma de pagos válidos del mismo ID y cuota con fecha igual o anterior al corte.</t>
      </text>
    </comment>
    <comment authorId="0" ref="O105">
      <text>
        <t xml:space="preserve">MIN(amortización pactada; MAX(0; pagado − cargos − interés)). No imputa excedentes a otras cuotas.</t>
      </text>
    </comment>
    <comment authorId="0" ref="P105">
      <text>
        <t xml:space="preserve">MAX(0; total pactado − pagado a esta cuota). Incluye capital, interés y cargos pendientes de ESA cuota.</t>
      </text>
    </comment>
    <comment authorId="0" ref="Q105">
      <text>
        <t xml:space="preserve">Días desde vencimiento hasta corte, solo si venció antes del corte y sigue con saldo.</t>
      </text>
    </comment>
    <comment authorId="0" ref="R105">
      <text>
        <t xml:space="preserve">MAX(0; pagado − cuota pactada). Exceso para revisar: no se traspasa a otra cuota.</t>
      </text>
    </comment>
    <comment authorId="0" ref="S105">
      <text>
        <t xml:space="preserve">Pagada, Vencida, Vence hoy, Por vencer o Exceso sin imputar según fecha y saldo al corte.</t>
      </text>
    </comment>
    <comment authorId="0" ref="T105">
      <text>
        <t xml:space="preserve">Auxiliar para encontrar la primera cuota pendiente. El 999999 indica que esta cuota no tiene saldo pendiente o está fuera del plazo, y no es una fecha real.</t>
      </text>
    </comment>
    <comment authorId="0" ref="C106">
      <text>
        <t xml:space="preserve">Crédito al que corresponde esta cuota.</t>
      </text>
    </comment>
    <comment authorId="0" ref="D106">
      <text>
        <t xml:space="preserve">Número de cuota dentro del crédito.</t>
      </text>
    </comment>
    <comment authorId="0" ref="E106">
      <text>
        <t xml:space="preserve">Fecha según EDATE a partir del primer vencimiento. No ajusta automáticamente feriados.</t>
      </text>
    </comment>
    <comment authorId="0" ref="F106">
      <text>
        <t xml:space="preserve">Capital al inicio del período en el calendario ORIGINAL, sin recalcular por pagos reales.</t>
      </text>
    </comment>
    <comment authorId="0" ref="G106">
      <text>
        <t xml:space="preserve">Tasa efectiva del mes según la base ingresada.</t>
      </text>
    </comment>
    <comment authorId="0" ref="H106">
      <text>
        <t xml:space="preserve">Interés del período = capital inicial × tasa mensual, redondeado a dos decimales.</t>
      </text>
    </comment>
    <comment authorId="0" ref="I106">
      <text>
        <t xml:space="preserve">Capital e interés pactados. La última cuota ajusta el saldo por redondeo.</t>
      </text>
    </comment>
    <comment authorId="0" ref="J106">
      <text>
        <t xml:space="preserve">Capital amortizado TEÓRICO = cuota base − interés, limitado al saldo.</t>
      </text>
    </comment>
    <comment authorId="0" ref="K106">
      <text>
        <t xml:space="preserve">Seguro y otros cargos fijos del mes.</t>
      </text>
    </comment>
    <comment authorId="0" ref="L106">
      <text>
        <t xml:space="preserve">Cuota base + cargos.</t>
      </text>
    </comment>
    <comment authorId="0" ref="M106">
      <text>
        <t xml:space="preserve">Capital final del calendario teórico. No equivale al saldo real si hay pagos parciales o atrasos.</t>
      </text>
    </comment>
    <comment authorId="0" ref="N106">
      <text>
        <t xml:space="preserve">Suma de pagos válidos del mismo ID y cuota con fecha igual o anterior al corte.</t>
      </text>
    </comment>
    <comment authorId="0" ref="O106">
      <text>
        <t xml:space="preserve">MIN(amortización pactada; MAX(0; pagado − cargos − interés)). No imputa excedentes a otras cuotas.</t>
      </text>
    </comment>
    <comment authorId="0" ref="P106">
      <text>
        <t xml:space="preserve">MAX(0; total pactado − pagado a esta cuota). Incluye capital, interés y cargos pendientes de ESA cuota.</t>
      </text>
    </comment>
    <comment authorId="0" ref="Q106">
      <text>
        <t xml:space="preserve">Días desde vencimiento hasta corte, solo si venció antes del corte y sigue con saldo.</t>
      </text>
    </comment>
    <comment authorId="0" ref="R106">
      <text>
        <t xml:space="preserve">MAX(0; pagado − cuota pactada). Exceso para revisar: no se traspasa a otra cuota.</t>
      </text>
    </comment>
    <comment authorId="0" ref="S106">
      <text>
        <t xml:space="preserve">Pagada, Vencida, Vence hoy, Por vencer o Exceso sin imputar según fecha y saldo al corte.</t>
      </text>
    </comment>
    <comment authorId="0" ref="T106">
      <text>
        <t xml:space="preserve">Auxiliar para encontrar la primera cuota pendiente. El 999999 indica que esta cuota no tiene saldo pendiente o está fuera del plazo, y no es una fecha real.</t>
      </text>
    </comment>
    <comment authorId="0" ref="C107">
      <text>
        <t xml:space="preserve">Crédito al que corresponde esta cuota.</t>
      </text>
    </comment>
    <comment authorId="0" ref="D107">
      <text>
        <t xml:space="preserve">Número de cuota dentro del crédito.</t>
      </text>
    </comment>
    <comment authorId="0" ref="E107">
      <text>
        <t xml:space="preserve">Fecha según EDATE a partir del primer vencimiento. No ajusta automáticamente feriados.</t>
      </text>
    </comment>
    <comment authorId="0" ref="F107">
      <text>
        <t xml:space="preserve">Capital al inicio del período en el calendario ORIGINAL, sin recalcular por pagos reales.</t>
      </text>
    </comment>
    <comment authorId="0" ref="G107">
      <text>
        <t xml:space="preserve">Tasa efectiva del mes según la base ingresada.</t>
      </text>
    </comment>
    <comment authorId="0" ref="H107">
      <text>
        <t xml:space="preserve">Interés del período = capital inicial × tasa mensual, redondeado a dos decimales.</t>
      </text>
    </comment>
    <comment authorId="0" ref="I107">
      <text>
        <t xml:space="preserve">Capital e interés pactados. La última cuota ajusta el saldo por redondeo.</t>
      </text>
    </comment>
    <comment authorId="0" ref="J107">
      <text>
        <t xml:space="preserve">Capital amortizado TEÓRICO = cuota base − interés, limitado al saldo.</t>
      </text>
    </comment>
    <comment authorId="0" ref="K107">
      <text>
        <t xml:space="preserve">Seguro y otros cargos fijos del mes.</t>
      </text>
    </comment>
    <comment authorId="0" ref="L107">
      <text>
        <t xml:space="preserve">Cuota base + cargos.</t>
      </text>
    </comment>
    <comment authorId="0" ref="M107">
      <text>
        <t xml:space="preserve">Capital final del calendario teórico. No equivale al saldo real si hay pagos parciales o atrasos.</t>
      </text>
    </comment>
    <comment authorId="0" ref="N107">
      <text>
        <t xml:space="preserve">Suma de pagos válidos del mismo ID y cuota con fecha igual o anterior al corte.</t>
      </text>
    </comment>
    <comment authorId="0" ref="O107">
      <text>
        <t xml:space="preserve">MIN(amortización pactada; MAX(0; pagado − cargos − interés)). No imputa excedentes a otras cuotas.</t>
      </text>
    </comment>
    <comment authorId="0" ref="P107">
      <text>
        <t xml:space="preserve">MAX(0; total pactado − pagado a esta cuota). Incluye capital, interés y cargos pendientes de ESA cuota.</t>
      </text>
    </comment>
    <comment authorId="0" ref="Q107">
      <text>
        <t xml:space="preserve">Días desde vencimiento hasta corte, solo si venció antes del corte y sigue con saldo.</t>
      </text>
    </comment>
    <comment authorId="0" ref="R107">
      <text>
        <t xml:space="preserve">MAX(0; pagado − cuota pactada). Exceso para revisar: no se traspasa a otra cuota.</t>
      </text>
    </comment>
    <comment authorId="0" ref="S107">
      <text>
        <t xml:space="preserve">Pagada, Vencida, Vence hoy, Por vencer o Exceso sin imputar según fecha y saldo al corte.</t>
      </text>
    </comment>
    <comment authorId="0" ref="T107">
      <text>
        <t xml:space="preserve">Auxiliar para encontrar la primera cuota pendiente. El 999999 indica que esta cuota no tiene saldo pendiente o está fuera del plazo, y no es una fecha real.</t>
      </text>
    </comment>
    <comment authorId="0" ref="C108">
      <text>
        <t xml:space="preserve">Crédito al que corresponde esta cuota.</t>
      </text>
    </comment>
    <comment authorId="0" ref="D108">
      <text>
        <t xml:space="preserve">Número de cuota dentro del crédito.</t>
      </text>
    </comment>
    <comment authorId="0" ref="E108">
      <text>
        <t xml:space="preserve">Fecha según EDATE a partir del primer vencimiento. No ajusta automáticamente feriados.</t>
      </text>
    </comment>
    <comment authorId="0" ref="F108">
      <text>
        <t xml:space="preserve">Capital al inicio del período en el calendario ORIGINAL, sin recalcular por pagos reales.</t>
      </text>
    </comment>
    <comment authorId="0" ref="G108">
      <text>
        <t xml:space="preserve">Tasa efectiva del mes según la base ingresada.</t>
      </text>
    </comment>
    <comment authorId="0" ref="H108">
      <text>
        <t xml:space="preserve">Interés del período = capital inicial × tasa mensual, redondeado a dos decimales.</t>
      </text>
    </comment>
    <comment authorId="0" ref="I108">
      <text>
        <t xml:space="preserve">Capital e interés pactados. La última cuota ajusta el saldo por redondeo.</t>
      </text>
    </comment>
    <comment authorId="0" ref="J108">
      <text>
        <t xml:space="preserve">Capital amortizado TEÓRICO = cuota base − interés, limitado al saldo.</t>
      </text>
    </comment>
    <comment authorId="0" ref="K108">
      <text>
        <t xml:space="preserve">Seguro y otros cargos fijos del mes.</t>
      </text>
    </comment>
    <comment authorId="0" ref="L108">
      <text>
        <t xml:space="preserve">Cuota base + cargos.</t>
      </text>
    </comment>
    <comment authorId="0" ref="M108">
      <text>
        <t xml:space="preserve">Capital final del calendario teórico. No equivale al saldo real si hay pagos parciales o atrasos.</t>
      </text>
    </comment>
    <comment authorId="0" ref="N108">
      <text>
        <t xml:space="preserve">Suma de pagos válidos del mismo ID y cuota con fecha igual o anterior al corte.</t>
      </text>
    </comment>
    <comment authorId="0" ref="O108">
      <text>
        <t xml:space="preserve">MIN(amortización pactada; MAX(0; pagado − cargos − interés)). No imputa excedentes a otras cuotas.</t>
      </text>
    </comment>
    <comment authorId="0" ref="P108">
      <text>
        <t xml:space="preserve">MAX(0; total pactado − pagado a esta cuota). Incluye capital, interés y cargos pendientes de ESA cuota.</t>
      </text>
    </comment>
    <comment authorId="0" ref="Q108">
      <text>
        <t xml:space="preserve">Días desde vencimiento hasta corte, solo si venció antes del corte y sigue con saldo.</t>
      </text>
    </comment>
    <comment authorId="0" ref="R108">
      <text>
        <t xml:space="preserve">MAX(0; pagado − cuota pactada). Exceso para revisar: no se traspasa a otra cuota.</t>
      </text>
    </comment>
    <comment authorId="0" ref="S108">
      <text>
        <t xml:space="preserve">Pagada, Vencida, Vence hoy, Por vencer o Exceso sin imputar según fecha y saldo al corte.</t>
      </text>
    </comment>
    <comment authorId="0" ref="T108">
      <text>
        <t xml:space="preserve">Auxiliar para encontrar la primera cuota pendiente. El 999999 indica que esta cuota no tiene saldo pendiente o está fuera del plazo, y no es una fecha real.</t>
      </text>
    </comment>
    <comment authorId="0" ref="C109">
      <text>
        <t xml:space="preserve">Crédito al que corresponde esta cuota.</t>
      </text>
    </comment>
    <comment authorId="0" ref="D109">
      <text>
        <t xml:space="preserve">Número de cuota dentro del crédito.</t>
      </text>
    </comment>
    <comment authorId="0" ref="E109">
      <text>
        <t xml:space="preserve">Fecha según EDATE a partir del primer vencimiento. No ajusta automáticamente feriados.</t>
      </text>
    </comment>
    <comment authorId="0" ref="F109">
      <text>
        <t xml:space="preserve">Capital al inicio del período en el calendario ORIGINAL, sin recalcular por pagos reales.</t>
      </text>
    </comment>
    <comment authorId="0" ref="G109">
      <text>
        <t xml:space="preserve">Tasa efectiva del mes según la base ingresada.</t>
      </text>
    </comment>
    <comment authorId="0" ref="H109">
      <text>
        <t xml:space="preserve">Interés del período = capital inicial × tasa mensual, redondeado a dos decimales.</t>
      </text>
    </comment>
    <comment authorId="0" ref="I109">
      <text>
        <t xml:space="preserve">Capital e interés pactados. La última cuota ajusta el saldo por redondeo.</t>
      </text>
    </comment>
    <comment authorId="0" ref="J109">
      <text>
        <t xml:space="preserve">Capital amortizado TEÓRICO = cuota base − interés, limitado al saldo.</t>
      </text>
    </comment>
    <comment authorId="0" ref="K109">
      <text>
        <t xml:space="preserve">Seguro y otros cargos fijos del mes.</t>
      </text>
    </comment>
    <comment authorId="0" ref="L109">
      <text>
        <t xml:space="preserve">Cuota base + cargos.</t>
      </text>
    </comment>
    <comment authorId="0" ref="M109">
      <text>
        <t xml:space="preserve">Capital final del calendario teórico. No equivale al saldo real si hay pagos parciales o atrasos.</t>
      </text>
    </comment>
    <comment authorId="0" ref="N109">
      <text>
        <t xml:space="preserve">Suma de pagos válidos del mismo ID y cuota con fecha igual o anterior al corte.</t>
      </text>
    </comment>
    <comment authorId="0" ref="O109">
      <text>
        <t xml:space="preserve">MIN(amortización pactada; MAX(0; pagado − cargos − interés)). No imputa excedentes a otras cuotas.</t>
      </text>
    </comment>
    <comment authorId="0" ref="P109">
      <text>
        <t xml:space="preserve">MAX(0; total pactado − pagado a esta cuota). Incluye capital, interés y cargos pendientes de ESA cuota.</t>
      </text>
    </comment>
    <comment authorId="0" ref="Q109">
      <text>
        <t xml:space="preserve">Días desde vencimiento hasta corte, solo si venció antes del corte y sigue con saldo.</t>
      </text>
    </comment>
    <comment authorId="0" ref="R109">
      <text>
        <t xml:space="preserve">MAX(0; pagado − cuota pactada). Exceso para revisar: no se traspasa a otra cuota.</t>
      </text>
    </comment>
    <comment authorId="0" ref="S109">
      <text>
        <t xml:space="preserve">Pagada, Vencida, Vence hoy, Por vencer o Exceso sin imputar según fecha y saldo al corte.</t>
      </text>
    </comment>
    <comment authorId="0" ref="T109">
      <text>
        <t xml:space="preserve">Auxiliar para encontrar la primera cuota pendiente. El 999999 indica que esta cuota no tiene saldo pendiente o está fuera del plazo, y no es una fecha real.</t>
      </text>
    </comment>
    <comment authorId="0" ref="C110">
      <text>
        <t xml:space="preserve">Crédito al que corresponde esta cuota.</t>
      </text>
    </comment>
    <comment authorId="0" ref="D110">
      <text>
        <t xml:space="preserve">Número de cuota dentro del crédito.</t>
      </text>
    </comment>
    <comment authorId="0" ref="E110">
      <text>
        <t xml:space="preserve">Fecha según EDATE a partir del primer vencimiento. No ajusta automáticamente feriados.</t>
      </text>
    </comment>
    <comment authorId="0" ref="F110">
      <text>
        <t xml:space="preserve">Capital al inicio del período en el calendario ORIGINAL, sin recalcular por pagos reales.</t>
      </text>
    </comment>
    <comment authorId="0" ref="G110">
      <text>
        <t xml:space="preserve">Tasa efectiva del mes según la base ingresada.</t>
      </text>
    </comment>
    <comment authorId="0" ref="H110">
      <text>
        <t xml:space="preserve">Interés del período = capital inicial × tasa mensual, redondeado a dos decimales.</t>
      </text>
    </comment>
    <comment authorId="0" ref="I110">
      <text>
        <t xml:space="preserve">Capital e interés pactados. La última cuota ajusta el saldo por redondeo.</t>
      </text>
    </comment>
    <comment authorId="0" ref="J110">
      <text>
        <t xml:space="preserve">Capital amortizado TEÓRICO = cuota base − interés, limitado al saldo.</t>
      </text>
    </comment>
    <comment authorId="0" ref="K110">
      <text>
        <t xml:space="preserve">Seguro y otros cargos fijos del mes.</t>
      </text>
    </comment>
    <comment authorId="0" ref="L110">
      <text>
        <t xml:space="preserve">Cuota base + cargos.</t>
      </text>
    </comment>
    <comment authorId="0" ref="M110">
      <text>
        <t xml:space="preserve">Capital final del calendario teórico. No equivale al saldo real si hay pagos parciales o atrasos.</t>
      </text>
    </comment>
    <comment authorId="0" ref="N110">
      <text>
        <t xml:space="preserve">Suma de pagos válidos del mismo ID y cuota con fecha igual o anterior al corte.</t>
      </text>
    </comment>
    <comment authorId="0" ref="O110">
      <text>
        <t xml:space="preserve">MIN(amortización pactada; MAX(0; pagado − cargos − interés)). No imputa excedentes a otras cuotas.</t>
      </text>
    </comment>
    <comment authorId="0" ref="P110">
      <text>
        <t xml:space="preserve">MAX(0; total pactado − pagado a esta cuota). Incluye capital, interés y cargos pendientes de ESA cuota.</t>
      </text>
    </comment>
    <comment authorId="0" ref="Q110">
      <text>
        <t xml:space="preserve">Días desde vencimiento hasta corte, solo si venció antes del corte y sigue con saldo.</t>
      </text>
    </comment>
    <comment authorId="0" ref="R110">
      <text>
        <t xml:space="preserve">MAX(0; pagado − cuota pactada). Exceso para revisar: no se traspasa a otra cuota.</t>
      </text>
    </comment>
    <comment authorId="0" ref="S110">
      <text>
        <t xml:space="preserve">Pagada, Vencida, Vence hoy, Por vencer o Exceso sin imputar según fecha y saldo al corte.</t>
      </text>
    </comment>
    <comment authorId="0" ref="T110">
      <text>
        <t xml:space="preserve">Auxiliar para encontrar la primera cuota pendiente. El 999999 indica que esta cuota no tiene saldo pendiente o está fuera del plazo, y no es una fecha real.</t>
      </text>
    </comment>
    <comment authorId="0" ref="C111">
      <text>
        <t xml:space="preserve">Crédito al que corresponde esta cuota.</t>
      </text>
    </comment>
    <comment authorId="0" ref="D111">
      <text>
        <t xml:space="preserve">Número de cuota dentro del crédito.</t>
      </text>
    </comment>
    <comment authorId="0" ref="E111">
      <text>
        <t xml:space="preserve">Fecha según EDATE a partir del primer vencimiento. No ajusta automáticamente feriados.</t>
      </text>
    </comment>
    <comment authorId="0" ref="F111">
      <text>
        <t xml:space="preserve">Capital al inicio del período en el calendario ORIGINAL, sin recalcular por pagos reales.</t>
      </text>
    </comment>
    <comment authorId="0" ref="G111">
      <text>
        <t xml:space="preserve">Tasa efectiva del mes según la base ingresada.</t>
      </text>
    </comment>
    <comment authorId="0" ref="H111">
      <text>
        <t xml:space="preserve">Interés del período = capital inicial × tasa mensual, redondeado a dos decimales.</t>
      </text>
    </comment>
    <comment authorId="0" ref="I111">
      <text>
        <t xml:space="preserve">Capital e interés pactados. La última cuota ajusta el saldo por redondeo.</t>
      </text>
    </comment>
    <comment authorId="0" ref="J111">
      <text>
        <t xml:space="preserve">Capital amortizado TEÓRICO = cuota base − interés, limitado al saldo.</t>
      </text>
    </comment>
    <comment authorId="0" ref="K111">
      <text>
        <t xml:space="preserve">Seguro y otros cargos fijos del mes.</t>
      </text>
    </comment>
    <comment authorId="0" ref="L111">
      <text>
        <t xml:space="preserve">Cuota base + cargos.</t>
      </text>
    </comment>
    <comment authorId="0" ref="M111">
      <text>
        <t xml:space="preserve">Capital final del calendario teórico. No equivale al saldo real si hay pagos parciales o atrasos.</t>
      </text>
    </comment>
    <comment authorId="0" ref="N111">
      <text>
        <t xml:space="preserve">Suma de pagos válidos del mismo ID y cuota con fecha igual o anterior al corte.</t>
      </text>
    </comment>
    <comment authorId="0" ref="O111">
      <text>
        <t xml:space="preserve">MIN(amortización pactada; MAX(0; pagado − cargos − interés)). No imputa excedentes a otras cuotas.</t>
      </text>
    </comment>
    <comment authorId="0" ref="P111">
      <text>
        <t xml:space="preserve">MAX(0; total pactado − pagado a esta cuota). Incluye capital, interés y cargos pendientes de ESA cuota.</t>
      </text>
    </comment>
    <comment authorId="0" ref="Q111">
      <text>
        <t xml:space="preserve">Días desde vencimiento hasta corte, solo si venció antes del corte y sigue con saldo.</t>
      </text>
    </comment>
    <comment authorId="0" ref="R111">
      <text>
        <t xml:space="preserve">MAX(0; pagado − cuota pactada). Exceso para revisar: no se traspasa a otra cuota.</t>
      </text>
    </comment>
    <comment authorId="0" ref="S111">
      <text>
        <t xml:space="preserve">Pagada, Vencida, Vence hoy, Por vencer o Exceso sin imputar según fecha y saldo al corte.</t>
      </text>
    </comment>
    <comment authorId="0" ref="T111">
      <text>
        <t xml:space="preserve">Auxiliar para encontrar la primera cuota pendiente. El 999999 indica que esta cuota no tiene saldo pendiente o está fuera del plazo, y no es una fecha real.</t>
      </text>
    </comment>
    <comment authorId="0" ref="C112">
      <text>
        <t xml:space="preserve">Crédito al que corresponde esta cuota.</t>
      </text>
    </comment>
    <comment authorId="0" ref="D112">
      <text>
        <t xml:space="preserve">Número de cuota dentro del crédito.</t>
      </text>
    </comment>
    <comment authorId="0" ref="E112">
      <text>
        <t xml:space="preserve">Fecha según EDATE a partir del primer vencimiento. No ajusta automáticamente feriados.</t>
      </text>
    </comment>
    <comment authorId="0" ref="F112">
      <text>
        <t xml:space="preserve">Capital al inicio del período en el calendario ORIGINAL, sin recalcular por pagos reales.</t>
      </text>
    </comment>
    <comment authorId="0" ref="G112">
      <text>
        <t xml:space="preserve">Tasa efectiva del mes según la base ingresada.</t>
      </text>
    </comment>
    <comment authorId="0" ref="H112">
      <text>
        <t xml:space="preserve">Interés del período = capital inicial × tasa mensual, redondeado a dos decimales.</t>
      </text>
    </comment>
    <comment authorId="0" ref="I112">
      <text>
        <t xml:space="preserve">Capital e interés pactados. La última cuota ajusta el saldo por redondeo.</t>
      </text>
    </comment>
    <comment authorId="0" ref="J112">
      <text>
        <t xml:space="preserve">Capital amortizado TEÓRICO = cuota base − interés, limitado al saldo.</t>
      </text>
    </comment>
    <comment authorId="0" ref="K112">
      <text>
        <t xml:space="preserve">Seguro y otros cargos fijos del mes.</t>
      </text>
    </comment>
    <comment authorId="0" ref="L112">
      <text>
        <t xml:space="preserve">Cuota base + cargos.</t>
      </text>
    </comment>
    <comment authorId="0" ref="M112">
      <text>
        <t xml:space="preserve">Capital final del calendario teórico. No equivale al saldo real si hay pagos parciales o atrasos.</t>
      </text>
    </comment>
    <comment authorId="0" ref="N112">
      <text>
        <t xml:space="preserve">Suma de pagos válidos del mismo ID y cuota con fecha igual o anterior al corte.</t>
      </text>
    </comment>
    <comment authorId="0" ref="O112">
      <text>
        <t xml:space="preserve">MIN(amortización pactada; MAX(0; pagado − cargos − interés)). No imputa excedentes a otras cuotas.</t>
      </text>
    </comment>
    <comment authorId="0" ref="P112">
      <text>
        <t xml:space="preserve">MAX(0; total pactado − pagado a esta cuota). Incluye capital, interés y cargos pendientes de ESA cuota.</t>
      </text>
    </comment>
    <comment authorId="0" ref="Q112">
      <text>
        <t xml:space="preserve">Días desde vencimiento hasta corte, solo si venció antes del corte y sigue con saldo.</t>
      </text>
    </comment>
    <comment authorId="0" ref="R112">
      <text>
        <t xml:space="preserve">MAX(0; pagado − cuota pactada). Exceso para revisar: no se traspasa a otra cuota.</t>
      </text>
    </comment>
    <comment authorId="0" ref="S112">
      <text>
        <t xml:space="preserve">Pagada, Vencida, Vence hoy, Por vencer o Exceso sin imputar según fecha y saldo al corte.</t>
      </text>
    </comment>
    <comment authorId="0" ref="T112">
      <text>
        <t xml:space="preserve">Auxiliar para encontrar la primera cuota pendiente. El 999999 indica que esta cuota no tiene saldo pendiente o está fuera del plazo, y no es una fecha real.</t>
      </text>
    </comment>
    <comment authorId="0" ref="C113">
      <text>
        <t xml:space="preserve">Crédito al que corresponde esta cuota.</t>
      </text>
    </comment>
    <comment authorId="0" ref="D113">
      <text>
        <t xml:space="preserve">Número de cuota dentro del crédito.</t>
      </text>
    </comment>
    <comment authorId="0" ref="E113">
      <text>
        <t xml:space="preserve">Fecha según EDATE a partir del primer vencimiento. No ajusta automáticamente feriados.</t>
      </text>
    </comment>
    <comment authorId="0" ref="F113">
      <text>
        <t xml:space="preserve">Capital al inicio del período en el calendario ORIGINAL, sin recalcular por pagos reales.</t>
      </text>
    </comment>
    <comment authorId="0" ref="G113">
      <text>
        <t xml:space="preserve">Tasa efectiva del mes según la base ingresada.</t>
      </text>
    </comment>
    <comment authorId="0" ref="H113">
      <text>
        <t xml:space="preserve">Interés del período = capital inicial × tasa mensual, redondeado a dos decimales.</t>
      </text>
    </comment>
    <comment authorId="0" ref="I113">
      <text>
        <t xml:space="preserve">Capital e interés pactados. La última cuota ajusta el saldo por redondeo.</t>
      </text>
    </comment>
    <comment authorId="0" ref="J113">
      <text>
        <t xml:space="preserve">Capital amortizado TEÓRICO = cuota base − interés, limitado al saldo.</t>
      </text>
    </comment>
    <comment authorId="0" ref="K113">
      <text>
        <t xml:space="preserve">Seguro y otros cargos fijos del mes.</t>
      </text>
    </comment>
    <comment authorId="0" ref="L113">
      <text>
        <t xml:space="preserve">Cuota base + cargos.</t>
      </text>
    </comment>
    <comment authorId="0" ref="M113">
      <text>
        <t xml:space="preserve">Capital final del calendario teórico. No equivale al saldo real si hay pagos parciales o atrasos.</t>
      </text>
    </comment>
    <comment authorId="0" ref="N113">
      <text>
        <t xml:space="preserve">Suma de pagos válidos del mismo ID y cuota con fecha igual o anterior al corte.</t>
      </text>
    </comment>
    <comment authorId="0" ref="O113">
      <text>
        <t xml:space="preserve">MIN(amortización pactada; MAX(0; pagado − cargos − interés)). No imputa excedentes a otras cuotas.</t>
      </text>
    </comment>
    <comment authorId="0" ref="P113">
      <text>
        <t xml:space="preserve">MAX(0; total pactado − pagado a esta cuota). Incluye capital, interés y cargos pendientes de ESA cuota.</t>
      </text>
    </comment>
    <comment authorId="0" ref="Q113">
      <text>
        <t xml:space="preserve">Días desde vencimiento hasta corte, solo si venció antes del corte y sigue con saldo.</t>
      </text>
    </comment>
    <comment authorId="0" ref="R113">
      <text>
        <t xml:space="preserve">MAX(0; pagado − cuota pactada). Exceso para revisar: no se traspasa a otra cuota.</t>
      </text>
    </comment>
    <comment authorId="0" ref="S113">
      <text>
        <t xml:space="preserve">Pagada, Vencida, Vence hoy, Por vencer o Exceso sin imputar según fecha y saldo al corte.</t>
      </text>
    </comment>
    <comment authorId="0" ref="T113">
      <text>
        <t xml:space="preserve">Auxiliar para encontrar la primera cuota pendiente. El 999999 indica que esta cuota no tiene saldo pendiente o está fuera del plazo, y no es una fecha real.</t>
      </text>
    </comment>
    <comment authorId="0" ref="C114">
      <text>
        <t xml:space="preserve">Crédito al que corresponde esta cuota.</t>
      </text>
    </comment>
    <comment authorId="0" ref="D114">
      <text>
        <t xml:space="preserve">Número de cuota dentro del crédito.</t>
      </text>
    </comment>
    <comment authorId="0" ref="E114">
      <text>
        <t xml:space="preserve">Fecha según EDATE a partir del primer vencimiento. No ajusta automáticamente feriados.</t>
      </text>
    </comment>
    <comment authorId="0" ref="F114">
      <text>
        <t xml:space="preserve">Capital al inicio del período en el calendario ORIGINAL, sin recalcular por pagos reales.</t>
      </text>
    </comment>
    <comment authorId="0" ref="G114">
      <text>
        <t xml:space="preserve">Tasa efectiva del mes según la base ingresada.</t>
      </text>
    </comment>
    <comment authorId="0" ref="H114">
      <text>
        <t xml:space="preserve">Interés del período = capital inicial × tasa mensual, redondeado a dos decimales.</t>
      </text>
    </comment>
    <comment authorId="0" ref="I114">
      <text>
        <t xml:space="preserve">Capital e interés pactados. La última cuota ajusta el saldo por redondeo.</t>
      </text>
    </comment>
    <comment authorId="0" ref="J114">
      <text>
        <t xml:space="preserve">Capital amortizado TEÓRICO = cuota base − interés, limitado al saldo.</t>
      </text>
    </comment>
    <comment authorId="0" ref="K114">
      <text>
        <t xml:space="preserve">Seguro y otros cargos fijos del mes.</t>
      </text>
    </comment>
    <comment authorId="0" ref="L114">
      <text>
        <t xml:space="preserve">Cuota base + cargos.</t>
      </text>
    </comment>
    <comment authorId="0" ref="M114">
      <text>
        <t xml:space="preserve">Capital final del calendario teórico. No equivale al saldo real si hay pagos parciales o atrasos.</t>
      </text>
    </comment>
    <comment authorId="0" ref="N114">
      <text>
        <t xml:space="preserve">Suma de pagos válidos del mismo ID y cuota con fecha igual o anterior al corte.</t>
      </text>
    </comment>
    <comment authorId="0" ref="O114">
      <text>
        <t xml:space="preserve">MIN(amortización pactada; MAX(0; pagado − cargos − interés)). No imputa excedentes a otras cuotas.</t>
      </text>
    </comment>
    <comment authorId="0" ref="P114">
      <text>
        <t xml:space="preserve">MAX(0; total pactado − pagado a esta cuota). Incluye capital, interés y cargos pendientes de ESA cuota.</t>
      </text>
    </comment>
    <comment authorId="0" ref="Q114">
      <text>
        <t xml:space="preserve">Días desde vencimiento hasta corte, solo si venció antes del corte y sigue con saldo.</t>
      </text>
    </comment>
    <comment authorId="0" ref="R114">
      <text>
        <t xml:space="preserve">MAX(0; pagado − cuota pactada). Exceso para revisar: no se traspasa a otra cuota.</t>
      </text>
    </comment>
    <comment authorId="0" ref="S114">
      <text>
        <t xml:space="preserve">Pagada, Vencida, Vence hoy, Por vencer o Exceso sin imputar según fecha y saldo al corte.</t>
      </text>
    </comment>
    <comment authorId="0" ref="T114">
      <text>
        <t xml:space="preserve">Auxiliar para encontrar la primera cuota pendiente. El 999999 indica que esta cuota no tiene saldo pendiente o está fuera del plazo, y no es una fecha real.</t>
      </text>
    </comment>
    <comment authorId="0" ref="C115">
      <text>
        <t xml:space="preserve">Crédito al que corresponde esta cuota.</t>
      </text>
    </comment>
    <comment authorId="0" ref="D115">
      <text>
        <t xml:space="preserve">Número de cuota dentro del crédito.</t>
      </text>
    </comment>
    <comment authorId="0" ref="E115">
      <text>
        <t xml:space="preserve">Fecha según EDATE a partir del primer vencimiento. No ajusta automáticamente feriados.</t>
      </text>
    </comment>
    <comment authorId="0" ref="F115">
      <text>
        <t xml:space="preserve">Capital al inicio del período en el calendario ORIGINAL, sin recalcular por pagos reales.</t>
      </text>
    </comment>
    <comment authorId="0" ref="G115">
      <text>
        <t xml:space="preserve">Tasa efectiva del mes según la base ingresada.</t>
      </text>
    </comment>
    <comment authorId="0" ref="H115">
      <text>
        <t xml:space="preserve">Interés del período = capital inicial × tasa mensual, redondeado a dos decimales.</t>
      </text>
    </comment>
    <comment authorId="0" ref="I115">
      <text>
        <t xml:space="preserve">Capital e interés pactados. La última cuota ajusta el saldo por redondeo.</t>
      </text>
    </comment>
    <comment authorId="0" ref="J115">
      <text>
        <t xml:space="preserve">Capital amortizado TEÓRICO = cuota base − interés, limitado al saldo.</t>
      </text>
    </comment>
    <comment authorId="0" ref="K115">
      <text>
        <t xml:space="preserve">Seguro y otros cargos fijos del mes.</t>
      </text>
    </comment>
    <comment authorId="0" ref="L115">
      <text>
        <t xml:space="preserve">Cuota base + cargos.</t>
      </text>
    </comment>
    <comment authorId="0" ref="M115">
      <text>
        <t xml:space="preserve">Capital final del calendario teórico. No equivale al saldo real si hay pagos parciales o atrasos.</t>
      </text>
    </comment>
    <comment authorId="0" ref="N115">
      <text>
        <t xml:space="preserve">Suma de pagos válidos del mismo ID y cuota con fecha igual o anterior al corte.</t>
      </text>
    </comment>
    <comment authorId="0" ref="O115">
      <text>
        <t xml:space="preserve">MIN(amortización pactada; MAX(0; pagado − cargos − interés)). No imputa excedentes a otras cuotas.</t>
      </text>
    </comment>
    <comment authorId="0" ref="P115">
      <text>
        <t xml:space="preserve">MAX(0; total pactado − pagado a esta cuota). Incluye capital, interés y cargos pendientes de ESA cuota.</t>
      </text>
    </comment>
    <comment authorId="0" ref="Q115">
      <text>
        <t xml:space="preserve">Días desde vencimiento hasta corte, solo si venció antes del corte y sigue con saldo.</t>
      </text>
    </comment>
    <comment authorId="0" ref="R115">
      <text>
        <t xml:space="preserve">MAX(0; pagado − cuota pactada). Exceso para revisar: no se traspasa a otra cuota.</t>
      </text>
    </comment>
    <comment authorId="0" ref="S115">
      <text>
        <t xml:space="preserve">Pagada, Vencida, Vence hoy, Por vencer o Exceso sin imputar según fecha y saldo al corte.</t>
      </text>
    </comment>
    <comment authorId="0" ref="T115">
      <text>
        <t xml:space="preserve">Auxiliar para encontrar la primera cuota pendiente. El 999999 indica que esta cuota no tiene saldo pendiente o está fuera del plazo, y no es una fecha real.</t>
      </text>
    </comment>
    <comment authorId="0" ref="C116">
      <text>
        <t xml:space="preserve">Crédito al que corresponde esta cuota.</t>
      </text>
    </comment>
    <comment authorId="0" ref="D116">
      <text>
        <t xml:space="preserve">Número de cuota dentro del crédito.</t>
      </text>
    </comment>
    <comment authorId="0" ref="E116">
      <text>
        <t xml:space="preserve">Fecha según EDATE a partir del primer vencimiento. No ajusta automáticamente feriados.</t>
      </text>
    </comment>
    <comment authorId="0" ref="F116">
      <text>
        <t xml:space="preserve">Capital al inicio del período en el calendario ORIGINAL, sin recalcular por pagos reales.</t>
      </text>
    </comment>
    <comment authorId="0" ref="G116">
      <text>
        <t xml:space="preserve">Tasa efectiva del mes según la base ingresada.</t>
      </text>
    </comment>
    <comment authorId="0" ref="H116">
      <text>
        <t xml:space="preserve">Interés del período = capital inicial × tasa mensual, redondeado a dos decimales.</t>
      </text>
    </comment>
    <comment authorId="0" ref="I116">
      <text>
        <t xml:space="preserve">Capital e interés pactados. La última cuota ajusta el saldo por redondeo.</t>
      </text>
    </comment>
    <comment authorId="0" ref="J116">
      <text>
        <t xml:space="preserve">Capital amortizado TEÓRICO = cuota base − interés, limitado al saldo.</t>
      </text>
    </comment>
    <comment authorId="0" ref="K116">
      <text>
        <t xml:space="preserve">Seguro y otros cargos fijos del mes.</t>
      </text>
    </comment>
    <comment authorId="0" ref="L116">
      <text>
        <t xml:space="preserve">Cuota base + cargos.</t>
      </text>
    </comment>
    <comment authorId="0" ref="M116">
      <text>
        <t xml:space="preserve">Capital final del calendario teórico. No equivale al saldo real si hay pagos parciales o atrasos.</t>
      </text>
    </comment>
    <comment authorId="0" ref="N116">
      <text>
        <t xml:space="preserve">Suma de pagos válidos del mismo ID y cuota con fecha igual o anterior al corte.</t>
      </text>
    </comment>
    <comment authorId="0" ref="O116">
      <text>
        <t xml:space="preserve">MIN(amortización pactada; MAX(0; pagado − cargos − interés)). No imputa excedentes a otras cuotas.</t>
      </text>
    </comment>
    <comment authorId="0" ref="P116">
      <text>
        <t xml:space="preserve">MAX(0; total pactado − pagado a esta cuota). Incluye capital, interés y cargos pendientes de ESA cuota.</t>
      </text>
    </comment>
    <comment authorId="0" ref="Q116">
      <text>
        <t xml:space="preserve">Días desde vencimiento hasta corte, solo si venció antes del corte y sigue con saldo.</t>
      </text>
    </comment>
    <comment authorId="0" ref="R116">
      <text>
        <t xml:space="preserve">MAX(0; pagado − cuota pactada). Exceso para revisar: no se traspasa a otra cuota.</t>
      </text>
    </comment>
    <comment authorId="0" ref="S116">
      <text>
        <t xml:space="preserve">Pagada, Vencida, Vence hoy, Por vencer o Exceso sin imputar según fecha y saldo al corte.</t>
      </text>
    </comment>
    <comment authorId="0" ref="T116">
      <text>
        <t xml:space="preserve">Auxiliar para encontrar la primera cuota pendiente. El 999999 indica que esta cuota no tiene saldo pendiente o está fuera del plazo, y no es una fecha real.</t>
      </text>
    </comment>
    <comment authorId="0" ref="C117">
      <text>
        <t xml:space="preserve">Crédito al que corresponde esta cuota.</t>
      </text>
    </comment>
    <comment authorId="0" ref="D117">
      <text>
        <t xml:space="preserve">Número de cuota dentro del crédito.</t>
      </text>
    </comment>
    <comment authorId="0" ref="E117">
      <text>
        <t xml:space="preserve">Fecha según EDATE a partir del primer vencimiento. No ajusta automáticamente feriados.</t>
      </text>
    </comment>
    <comment authorId="0" ref="F117">
      <text>
        <t xml:space="preserve">Capital al inicio del período en el calendario ORIGINAL, sin recalcular por pagos reales.</t>
      </text>
    </comment>
    <comment authorId="0" ref="G117">
      <text>
        <t xml:space="preserve">Tasa efectiva del mes según la base ingresada.</t>
      </text>
    </comment>
    <comment authorId="0" ref="H117">
      <text>
        <t xml:space="preserve">Interés del período = capital inicial × tasa mensual, redondeado a dos decimales.</t>
      </text>
    </comment>
    <comment authorId="0" ref="I117">
      <text>
        <t xml:space="preserve">Capital e interés pactados. La última cuota ajusta el saldo por redondeo.</t>
      </text>
    </comment>
    <comment authorId="0" ref="J117">
      <text>
        <t xml:space="preserve">Capital amortizado TEÓRICO = cuota base − interés, limitado al saldo.</t>
      </text>
    </comment>
    <comment authorId="0" ref="K117">
      <text>
        <t xml:space="preserve">Seguro y otros cargos fijos del mes.</t>
      </text>
    </comment>
    <comment authorId="0" ref="L117">
      <text>
        <t xml:space="preserve">Cuota base + cargos.</t>
      </text>
    </comment>
    <comment authorId="0" ref="M117">
      <text>
        <t xml:space="preserve">Capital final del calendario teórico. No equivale al saldo real si hay pagos parciales o atrasos.</t>
      </text>
    </comment>
    <comment authorId="0" ref="N117">
      <text>
        <t xml:space="preserve">Suma de pagos válidos del mismo ID y cuota con fecha igual o anterior al corte.</t>
      </text>
    </comment>
    <comment authorId="0" ref="O117">
      <text>
        <t xml:space="preserve">MIN(amortización pactada; MAX(0; pagado − cargos − interés)). No imputa excedentes a otras cuotas.</t>
      </text>
    </comment>
    <comment authorId="0" ref="P117">
      <text>
        <t xml:space="preserve">MAX(0; total pactado − pagado a esta cuota). Incluye capital, interés y cargos pendientes de ESA cuota.</t>
      </text>
    </comment>
    <comment authorId="0" ref="Q117">
      <text>
        <t xml:space="preserve">Días desde vencimiento hasta corte, solo si venció antes del corte y sigue con saldo.</t>
      </text>
    </comment>
    <comment authorId="0" ref="R117">
      <text>
        <t xml:space="preserve">MAX(0; pagado − cuota pactada). Exceso para revisar: no se traspasa a otra cuota.</t>
      </text>
    </comment>
    <comment authorId="0" ref="S117">
      <text>
        <t xml:space="preserve">Pagada, Vencida, Vence hoy, Por vencer o Exceso sin imputar según fecha y saldo al corte.</t>
      </text>
    </comment>
    <comment authorId="0" ref="T117">
      <text>
        <t xml:space="preserve">Auxiliar para encontrar la primera cuota pendiente. El 999999 indica que esta cuota no tiene saldo pendiente o está fuera del plazo, y no es una fecha real.</t>
      </text>
    </comment>
    <comment authorId="0" ref="C118">
      <text>
        <t xml:space="preserve">Crédito al que corresponde esta cuota.</t>
      </text>
    </comment>
    <comment authorId="0" ref="D118">
      <text>
        <t xml:space="preserve">Número de cuota dentro del crédito.</t>
      </text>
    </comment>
    <comment authorId="0" ref="E118">
      <text>
        <t xml:space="preserve">Fecha según EDATE a partir del primer vencimiento. No ajusta automáticamente feriados.</t>
      </text>
    </comment>
    <comment authorId="0" ref="F118">
      <text>
        <t xml:space="preserve">Capital al inicio del período en el calendario ORIGINAL, sin recalcular por pagos reales.</t>
      </text>
    </comment>
    <comment authorId="0" ref="G118">
      <text>
        <t xml:space="preserve">Tasa efectiva del mes según la base ingresada.</t>
      </text>
    </comment>
    <comment authorId="0" ref="H118">
      <text>
        <t xml:space="preserve">Interés del período = capital inicial × tasa mensual, redondeado a dos decimales.</t>
      </text>
    </comment>
    <comment authorId="0" ref="I118">
      <text>
        <t xml:space="preserve">Capital e interés pactados. La última cuota ajusta el saldo por redondeo.</t>
      </text>
    </comment>
    <comment authorId="0" ref="J118">
      <text>
        <t xml:space="preserve">Capital amortizado TEÓRICO = cuota base − interés, limitado al saldo.</t>
      </text>
    </comment>
    <comment authorId="0" ref="K118">
      <text>
        <t xml:space="preserve">Seguro y otros cargos fijos del mes.</t>
      </text>
    </comment>
    <comment authorId="0" ref="L118">
      <text>
        <t xml:space="preserve">Cuota base + cargos.</t>
      </text>
    </comment>
    <comment authorId="0" ref="M118">
      <text>
        <t xml:space="preserve">Capital final del calendario teórico. No equivale al saldo real si hay pagos parciales o atrasos.</t>
      </text>
    </comment>
    <comment authorId="0" ref="N118">
      <text>
        <t xml:space="preserve">Suma de pagos válidos del mismo ID y cuota con fecha igual o anterior al corte.</t>
      </text>
    </comment>
    <comment authorId="0" ref="O118">
      <text>
        <t xml:space="preserve">MIN(amortización pactada; MAX(0; pagado − cargos − interés)). No imputa excedentes a otras cuotas.</t>
      </text>
    </comment>
    <comment authorId="0" ref="P118">
      <text>
        <t xml:space="preserve">MAX(0; total pactado − pagado a esta cuota). Incluye capital, interés y cargos pendientes de ESA cuota.</t>
      </text>
    </comment>
    <comment authorId="0" ref="Q118">
      <text>
        <t xml:space="preserve">Días desde vencimiento hasta corte, solo si venció antes del corte y sigue con saldo.</t>
      </text>
    </comment>
    <comment authorId="0" ref="R118">
      <text>
        <t xml:space="preserve">MAX(0; pagado − cuota pactada). Exceso para revisar: no se traspasa a otra cuota.</t>
      </text>
    </comment>
    <comment authorId="0" ref="S118">
      <text>
        <t xml:space="preserve">Pagada, Vencida, Vence hoy, Por vencer o Exceso sin imputar según fecha y saldo al corte.</t>
      </text>
    </comment>
    <comment authorId="0" ref="T118">
      <text>
        <t xml:space="preserve">Auxiliar para encontrar la primera cuota pendiente. El 999999 indica que esta cuota no tiene saldo pendiente o está fuera del plazo, y no es una fecha real.</t>
      </text>
    </comment>
    <comment authorId="0" ref="C119">
      <text>
        <t xml:space="preserve">Crédito al que corresponde esta cuota.</t>
      </text>
    </comment>
    <comment authorId="0" ref="D119">
      <text>
        <t xml:space="preserve">Número de cuota dentro del crédito.</t>
      </text>
    </comment>
    <comment authorId="0" ref="E119">
      <text>
        <t xml:space="preserve">Fecha según EDATE a partir del primer vencimiento. No ajusta automáticamente feriados.</t>
      </text>
    </comment>
    <comment authorId="0" ref="F119">
      <text>
        <t xml:space="preserve">Capital al inicio del período en el calendario ORIGINAL, sin recalcular por pagos reales.</t>
      </text>
    </comment>
    <comment authorId="0" ref="G119">
      <text>
        <t xml:space="preserve">Tasa efectiva del mes según la base ingresada.</t>
      </text>
    </comment>
    <comment authorId="0" ref="H119">
      <text>
        <t xml:space="preserve">Interés del período = capital inicial × tasa mensual, redondeado a dos decimales.</t>
      </text>
    </comment>
    <comment authorId="0" ref="I119">
      <text>
        <t xml:space="preserve">Capital e interés pactados. La última cuota ajusta el saldo por redondeo.</t>
      </text>
    </comment>
    <comment authorId="0" ref="J119">
      <text>
        <t xml:space="preserve">Capital amortizado TEÓRICO = cuota base − interés, limitado al saldo.</t>
      </text>
    </comment>
    <comment authorId="0" ref="K119">
      <text>
        <t xml:space="preserve">Seguro y otros cargos fijos del mes.</t>
      </text>
    </comment>
    <comment authorId="0" ref="L119">
      <text>
        <t xml:space="preserve">Cuota base + cargos.</t>
      </text>
    </comment>
    <comment authorId="0" ref="M119">
      <text>
        <t xml:space="preserve">Capital final del calendario teórico. No equivale al saldo real si hay pagos parciales o atrasos.</t>
      </text>
    </comment>
    <comment authorId="0" ref="N119">
      <text>
        <t xml:space="preserve">Suma de pagos válidos del mismo ID y cuota con fecha igual o anterior al corte.</t>
      </text>
    </comment>
    <comment authorId="0" ref="O119">
      <text>
        <t xml:space="preserve">MIN(amortización pactada; MAX(0; pagado − cargos − interés)). No imputa excedentes a otras cuotas.</t>
      </text>
    </comment>
    <comment authorId="0" ref="P119">
      <text>
        <t xml:space="preserve">MAX(0; total pactado − pagado a esta cuota). Incluye capital, interés y cargos pendientes de ESA cuota.</t>
      </text>
    </comment>
    <comment authorId="0" ref="Q119">
      <text>
        <t xml:space="preserve">Días desde vencimiento hasta corte, solo si venció antes del corte y sigue con saldo.</t>
      </text>
    </comment>
    <comment authorId="0" ref="R119">
      <text>
        <t xml:space="preserve">MAX(0; pagado − cuota pactada). Exceso para revisar: no se traspasa a otra cuota.</t>
      </text>
    </comment>
    <comment authorId="0" ref="S119">
      <text>
        <t xml:space="preserve">Pagada, Vencida, Vence hoy, Por vencer o Exceso sin imputar según fecha y saldo al corte.</t>
      </text>
    </comment>
    <comment authorId="0" ref="T119">
      <text>
        <t xml:space="preserve">Auxiliar para encontrar la primera cuota pendiente. El 999999 indica que esta cuota no tiene saldo pendiente o está fuera del plazo, y no es una fecha real.</t>
      </text>
    </comment>
    <comment authorId="0" ref="C120">
      <text>
        <t xml:space="preserve">Crédito al que corresponde esta cuota.</t>
      </text>
    </comment>
    <comment authorId="0" ref="D120">
      <text>
        <t xml:space="preserve">Número de cuota dentro del crédito.</t>
      </text>
    </comment>
    <comment authorId="0" ref="E120">
      <text>
        <t xml:space="preserve">Fecha según EDATE a partir del primer vencimiento. No ajusta automáticamente feriados.</t>
      </text>
    </comment>
    <comment authorId="0" ref="F120">
      <text>
        <t xml:space="preserve">Capital al inicio del período en el calendario ORIGINAL, sin recalcular por pagos reales.</t>
      </text>
    </comment>
    <comment authorId="0" ref="G120">
      <text>
        <t xml:space="preserve">Tasa efectiva del mes según la base ingresada.</t>
      </text>
    </comment>
    <comment authorId="0" ref="H120">
      <text>
        <t xml:space="preserve">Interés del período = capital inicial × tasa mensual, redondeado a dos decimales.</t>
      </text>
    </comment>
    <comment authorId="0" ref="I120">
      <text>
        <t xml:space="preserve">Capital e interés pactados. La última cuota ajusta el saldo por redondeo.</t>
      </text>
    </comment>
    <comment authorId="0" ref="J120">
      <text>
        <t xml:space="preserve">Capital amortizado TEÓRICO = cuota base − interés, limitado al saldo.</t>
      </text>
    </comment>
    <comment authorId="0" ref="K120">
      <text>
        <t xml:space="preserve">Seguro y otros cargos fijos del mes.</t>
      </text>
    </comment>
    <comment authorId="0" ref="L120">
      <text>
        <t xml:space="preserve">Cuota base + cargos.</t>
      </text>
    </comment>
    <comment authorId="0" ref="M120">
      <text>
        <t xml:space="preserve">Capital final del calendario teórico. No equivale al saldo real si hay pagos parciales o atrasos.</t>
      </text>
    </comment>
    <comment authorId="0" ref="N120">
      <text>
        <t xml:space="preserve">Suma de pagos válidos del mismo ID y cuota con fecha igual o anterior al corte.</t>
      </text>
    </comment>
    <comment authorId="0" ref="O120">
      <text>
        <t xml:space="preserve">MIN(amortización pactada; MAX(0; pagado − cargos − interés)). No imputa excedentes a otras cuotas.</t>
      </text>
    </comment>
    <comment authorId="0" ref="P120">
      <text>
        <t xml:space="preserve">MAX(0; total pactado − pagado a esta cuota). Incluye capital, interés y cargos pendientes de ESA cuota.</t>
      </text>
    </comment>
    <comment authorId="0" ref="Q120">
      <text>
        <t xml:space="preserve">Días desde vencimiento hasta corte, solo si venció antes del corte y sigue con saldo.</t>
      </text>
    </comment>
    <comment authorId="0" ref="R120">
      <text>
        <t xml:space="preserve">MAX(0; pagado − cuota pactada). Exceso para revisar: no se traspasa a otra cuota.</t>
      </text>
    </comment>
    <comment authorId="0" ref="S120">
      <text>
        <t xml:space="preserve">Pagada, Vencida, Vence hoy, Por vencer o Exceso sin imputar según fecha y saldo al corte.</t>
      </text>
    </comment>
    <comment authorId="0" ref="T120">
      <text>
        <t xml:space="preserve">Auxiliar para encontrar la primera cuota pendiente. El 999999 indica que esta cuota no tiene saldo pendiente o está fuera del plazo, y no es una fecha real.</t>
      </text>
    </comment>
    <comment authorId="0" ref="C121">
      <text>
        <t xml:space="preserve">Crédito al que corresponde esta cuota.</t>
      </text>
    </comment>
    <comment authorId="0" ref="D121">
      <text>
        <t xml:space="preserve">Número de cuota dentro del crédito.</t>
      </text>
    </comment>
    <comment authorId="0" ref="E121">
      <text>
        <t xml:space="preserve">Fecha según EDATE a partir del primer vencimiento. No ajusta automáticamente feriados.</t>
      </text>
    </comment>
    <comment authorId="0" ref="F121">
      <text>
        <t xml:space="preserve">Capital al inicio del período en el calendario ORIGINAL, sin recalcular por pagos reales.</t>
      </text>
    </comment>
    <comment authorId="0" ref="G121">
      <text>
        <t xml:space="preserve">Tasa efectiva del mes según la base ingresada.</t>
      </text>
    </comment>
    <comment authorId="0" ref="H121">
      <text>
        <t xml:space="preserve">Interés del período = capital inicial × tasa mensual, redondeado a dos decimales.</t>
      </text>
    </comment>
    <comment authorId="0" ref="I121">
      <text>
        <t xml:space="preserve">Capital e interés pactados. La última cuota ajusta el saldo por redondeo.</t>
      </text>
    </comment>
    <comment authorId="0" ref="J121">
      <text>
        <t xml:space="preserve">Capital amortizado TEÓRICO = cuota base − interés, limitado al saldo.</t>
      </text>
    </comment>
    <comment authorId="0" ref="K121">
      <text>
        <t xml:space="preserve">Seguro y otros cargos fijos del mes.</t>
      </text>
    </comment>
    <comment authorId="0" ref="L121">
      <text>
        <t xml:space="preserve">Cuota base + cargos.</t>
      </text>
    </comment>
    <comment authorId="0" ref="M121">
      <text>
        <t xml:space="preserve">Capital final del calendario teórico. No equivale al saldo real si hay pagos parciales o atrasos.</t>
      </text>
    </comment>
    <comment authorId="0" ref="N121">
      <text>
        <t xml:space="preserve">Suma de pagos válidos del mismo ID y cuota con fecha igual o anterior al corte.</t>
      </text>
    </comment>
    <comment authorId="0" ref="O121">
      <text>
        <t xml:space="preserve">MIN(amortización pactada; MAX(0; pagado − cargos − interés)). No imputa excedentes a otras cuotas.</t>
      </text>
    </comment>
    <comment authorId="0" ref="P121">
      <text>
        <t xml:space="preserve">MAX(0; total pactado − pagado a esta cuota). Incluye capital, interés y cargos pendientes de ESA cuota.</t>
      </text>
    </comment>
    <comment authorId="0" ref="Q121">
      <text>
        <t xml:space="preserve">Días desde vencimiento hasta corte, solo si venció antes del corte y sigue con saldo.</t>
      </text>
    </comment>
    <comment authorId="0" ref="R121">
      <text>
        <t xml:space="preserve">MAX(0; pagado − cuota pactada). Exceso para revisar: no se traspasa a otra cuota.</t>
      </text>
    </comment>
    <comment authorId="0" ref="S121">
      <text>
        <t xml:space="preserve">Pagada, Vencida, Vence hoy, Por vencer o Exceso sin imputar según fecha y saldo al corte.</t>
      </text>
    </comment>
    <comment authorId="0" ref="T121">
      <text>
        <t xml:space="preserve">Auxiliar para encontrar la primera cuota pendiente. El 999999 indica que esta cuota no tiene saldo pendiente o está fuera del plazo, y no es una fecha real.</t>
      </text>
    </comment>
    <comment authorId="0" ref="C122">
      <text>
        <t xml:space="preserve">Crédito al que corresponde esta cuota.</t>
      </text>
    </comment>
    <comment authorId="0" ref="D122">
      <text>
        <t xml:space="preserve">Número de cuota dentro del crédito.</t>
      </text>
    </comment>
    <comment authorId="0" ref="E122">
      <text>
        <t xml:space="preserve">Fecha según EDATE a partir del primer vencimiento. No ajusta automáticamente feriados.</t>
      </text>
    </comment>
    <comment authorId="0" ref="F122">
      <text>
        <t xml:space="preserve">Capital al inicio del período en el calendario ORIGINAL, sin recalcular por pagos reales.</t>
      </text>
    </comment>
    <comment authorId="0" ref="G122">
      <text>
        <t xml:space="preserve">Tasa efectiva del mes según la base ingresada.</t>
      </text>
    </comment>
    <comment authorId="0" ref="H122">
      <text>
        <t xml:space="preserve">Interés del período = capital inicial × tasa mensual, redondeado a dos decimales.</t>
      </text>
    </comment>
    <comment authorId="0" ref="I122">
      <text>
        <t xml:space="preserve">Capital e interés pactados. La última cuota ajusta el saldo por redondeo.</t>
      </text>
    </comment>
    <comment authorId="0" ref="J122">
      <text>
        <t xml:space="preserve">Capital amortizado TEÓRICO = cuota base − interés, limitado al saldo.</t>
      </text>
    </comment>
    <comment authorId="0" ref="K122">
      <text>
        <t xml:space="preserve">Seguro y otros cargos fijos del mes.</t>
      </text>
    </comment>
    <comment authorId="0" ref="L122">
      <text>
        <t xml:space="preserve">Cuota base + cargos.</t>
      </text>
    </comment>
    <comment authorId="0" ref="M122">
      <text>
        <t xml:space="preserve">Capital final del calendario teórico. No equivale al saldo real si hay pagos parciales o atrasos.</t>
      </text>
    </comment>
    <comment authorId="0" ref="N122">
      <text>
        <t xml:space="preserve">Suma de pagos válidos del mismo ID y cuota con fecha igual o anterior al corte.</t>
      </text>
    </comment>
    <comment authorId="0" ref="O122">
      <text>
        <t xml:space="preserve">MIN(amortización pactada; MAX(0; pagado − cargos − interés)). No imputa excedentes a otras cuotas.</t>
      </text>
    </comment>
    <comment authorId="0" ref="P122">
      <text>
        <t xml:space="preserve">MAX(0; total pactado − pagado a esta cuota). Incluye capital, interés y cargos pendientes de ESA cuota.</t>
      </text>
    </comment>
    <comment authorId="0" ref="Q122">
      <text>
        <t xml:space="preserve">Días desde vencimiento hasta corte, solo si venció antes del corte y sigue con saldo.</t>
      </text>
    </comment>
    <comment authorId="0" ref="R122">
      <text>
        <t xml:space="preserve">MAX(0; pagado − cuota pactada). Exceso para revisar: no se traspasa a otra cuota.</t>
      </text>
    </comment>
    <comment authorId="0" ref="S122">
      <text>
        <t xml:space="preserve">Pagada, Vencida, Vence hoy, Por vencer o Exceso sin imputar según fecha y saldo al corte.</t>
      </text>
    </comment>
    <comment authorId="0" ref="T122">
      <text>
        <t xml:space="preserve">Auxiliar para encontrar la primera cuota pendiente. El 999999 indica que esta cuota no tiene saldo pendiente o está fuera del plazo, y no es una fecha real.</t>
      </text>
    </comment>
    <comment authorId="0" ref="C123">
      <text>
        <t xml:space="preserve">Crédito al que corresponde esta cuota.</t>
      </text>
    </comment>
    <comment authorId="0" ref="D123">
      <text>
        <t xml:space="preserve">Número de cuota dentro del crédito.</t>
      </text>
    </comment>
    <comment authorId="0" ref="E123">
      <text>
        <t xml:space="preserve">Fecha según EDATE a partir del primer vencimiento. No ajusta automáticamente feriados.</t>
      </text>
    </comment>
    <comment authorId="0" ref="F123">
      <text>
        <t xml:space="preserve">Capital al inicio del período en el calendario ORIGINAL, sin recalcular por pagos reales.</t>
      </text>
    </comment>
    <comment authorId="0" ref="G123">
      <text>
        <t xml:space="preserve">Tasa efectiva del mes según la base ingresada.</t>
      </text>
    </comment>
    <comment authorId="0" ref="H123">
      <text>
        <t xml:space="preserve">Interés del período = capital inicial × tasa mensual, redondeado a dos decimales.</t>
      </text>
    </comment>
    <comment authorId="0" ref="I123">
      <text>
        <t xml:space="preserve">Capital e interés pactados. La última cuota ajusta el saldo por redondeo.</t>
      </text>
    </comment>
    <comment authorId="0" ref="J123">
      <text>
        <t xml:space="preserve">Capital amortizado TEÓRICO = cuota base − interés, limitado al saldo.</t>
      </text>
    </comment>
    <comment authorId="0" ref="K123">
      <text>
        <t xml:space="preserve">Seguro y otros cargos fijos del mes.</t>
      </text>
    </comment>
    <comment authorId="0" ref="L123">
      <text>
        <t xml:space="preserve">Cuota base + cargos.</t>
      </text>
    </comment>
    <comment authorId="0" ref="M123">
      <text>
        <t xml:space="preserve">Capital final del calendario teórico. No equivale al saldo real si hay pagos parciales o atrasos.</t>
      </text>
    </comment>
    <comment authorId="0" ref="N123">
      <text>
        <t xml:space="preserve">Suma de pagos válidos del mismo ID y cuota con fecha igual o anterior al corte.</t>
      </text>
    </comment>
    <comment authorId="0" ref="O123">
      <text>
        <t xml:space="preserve">MIN(amortización pactada; MAX(0; pagado − cargos − interés)). No imputa excedentes a otras cuotas.</t>
      </text>
    </comment>
    <comment authorId="0" ref="P123">
      <text>
        <t xml:space="preserve">MAX(0; total pactado − pagado a esta cuota). Incluye capital, interés y cargos pendientes de ESA cuota.</t>
      </text>
    </comment>
    <comment authorId="0" ref="Q123">
      <text>
        <t xml:space="preserve">Días desde vencimiento hasta corte, solo si venció antes del corte y sigue con saldo.</t>
      </text>
    </comment>
    <comment authorId="0" ref="R123">
      <text>
        <t xml:space="preserve">MAX(0; pagado − cuota pactada). Exceso para revisar: no se traspasa a otra cuota.</t>
      </text>
    </comment>
    <comment authorId="0" ref="S123">
      <text>
        <t xml:space="preserve">Pagada, Vencida, Vence hoy, Por vencer o Exceso sin imputar según fecha y saldo al corte.</t>
      </text>
    </comment>
    <comment authorId="0" ref="T123">
      <text>
        <t xml:space="preserve">Auxiliar para encontrar la primera cuota pendiente. El 999999 indica que esta cuota no tiene saldo pendiente o está fuera del plazo, y no es una fecha real.</t>
      </text>
    </comment>
    <comment authorId="0" ref="C124">
      <text>
        <t xml:space="preserve">Crédito al que corresponde esta cuota.</t>
      </text>
    </comment>
    <comment authorId="0" ref="D124">
      <text>
        <t xml:space="preserve">Número de cuota dentro del crédito.</t>
      </text>
    </comment>
    <comment authorId="0" ref="E124">
      <text>
        <t xml:space="preserve">Fecha según EDATE a partir del primer vencimiento. No ajusta automáticamente feriados.</t>
      </text>
    </comment>
    <comment authorId="0" ref="F124">
      <text>
        <t xml:space="preserve">Capital al inicio del período en el calendario ORIGINAL, sin recalcular por pagos reales.</t>
      </text>
    </comment>
    <comment authorId="0" ref="G124">
      <text>
        <t xml:space="preserve">Tasa efectiva del mes según la base ingresada.</t>
      </text>
    </comment>
    <comment authorId="0" ref="H124">
      <text>
        <t xml:space="preserve">Interés del período = capital inicial × tasa mensual, redondeado a dos decimales.</t>
      </text>
    </comment>
    <comment authorId="0" ref="I124">
      <text>
        <t xml:space="preserve">Capital e interés pactados. La última cuota ajusta el saldo por redondeo.</t>
      </text>
    </comment>
    <comment authorId="0" ref="J124">
      <text>
        <t xml:space="preserve">Capital amortizado TEÓRICO = cuota base − interés, limitado al saldo.</t>
      </text>
    </comment>
    <comment authorId="0" ref="K124">
      <text>
        <t xml:space="preserve">Seguro y otros cargos fijos del mes.</t>
      </text>
    </comment>
    <comment authorId="0" ref="L124">
      <text>
        <t xml:space="preserve">Cuota base + cargos.</t>
      </text>
    </comment>
    <comment authorId="0" ref="M124">
      <text>
        <t xml:space="preserve">Capital final del calendario teórico. No equivale al saldo real si hay pagos parciales o atrasos.</t>
      </text>
    </comment>
    <comment authorId="0" ref="N124">
      <text>
        <t xml:space="preserve">Suma de pagos válidos del mismo ID y cuota con fecha igual o anterior al corte.</t>
      </text>
    </comment>
    <comment authorId="0" ref="O124">
      <text>
        <t xml:space="preserve">MIN(amortización pactada; MAX(0; pagado − cargos − interés)). No imputa excedentes a otras cuotas.</t>
      </text>
    </comment>
    <comment authorId="0" ref="P124">
      <text>
        <t xml:space="preserve">MAX(0; total pactado − pagado a esta cuota). Incluye capital, interés y cargos pendientes de ESA cuota.</t>
      </text>
    </comment>
    <comment authorId="0" ref="Q124">
      <text>
        <t xml:space="preserve">Días desde vencimiento hasta corte, solo si venció antes del corte y sigue con saldo.</t>
      </text>
    </comment>
    <comment authorId="0" ref="R124">
      <text>
        <t xml:space="preserve">MAX(0; pagado − cuota pactada). Exceso para revisar: no se traspasa a otra cuota.</t>
      </text>
    </comment>
    <comment authorId="0" ref="S124">
      <text>
        <t xml:space="preserve">Pagada, Vencida, Vence hoy, Por vencer o Exceso sin imputar según fecha y saldo al corte.</t>
      </text>
    </comment>
    <comment authorId="0" ref="T124">
      <text>
        <t xml:space="preserve">Auxiliar para encontrar la primera cuota pendiente. El 999999 indica que esta cuota no tiene saldo pendiente o está fuera del plazo, y no es una fecha real.</t>
      </text>
    </comment>
    <comment authorId="0" ref="C125">
      <text>
        <t xml:space="preserve">Crédito al que corresponde esta cuota.</t>
      </text>
    </comment>
    <comment authorId="0" ref="D125">
      <text>
        <t xml:space="preserve">Número de cuota dentro del crédito.</t>
      </text>
    </comment>
    <comment authorId="0" ref="E125">
      <text>
        <t xml:space="preserve">Fecha según EDATE a partir del primer vencimiento. No ajusta automáticamente feriados.</t>
      </text>
    </comment>
    <comment authorId="0" ref="F125">
      <text>
        <t xml:space="preserve">Capital al inicio del período en el calendario ORIGINAL, sin recalcular por pagos reales.</t>
      </text>
    </comment>
    <comment authorId="0" ref="G125">
      <text>
        <t xml:space="preserve">Tasa efectiva del mes según la base ingresada.</t>
      </text>
    </comment>
    <comment authorId="0" ref="H125">
      <text>
        <t xml:space="preserve">Interés del período = capital inicial × tasa mensual, redondeado a dos decimales.</t>
      </text>
    </comment>
    <comment authorId="0" ref="I125">
      <text>
        <t xml:space="preserve">Capital e interés pactados. La última cuota ajusta el saldo por redondeo.</t>
      </text>
    </comment>
    <comment authorId="0" ref="J125">
      <text>
        <t xml:space="preserve">Capital amortizado TEÓRICO = cuota base − interés, limitado al saldo.</t>
      </text>
    </comment>
    <comment authorId="0" ref="K125">
      <text>
        <t xml:space="preserve">Seguro y otros cargos fijos del mes.</t>
      </text>
    </comment>
    <comment authorId="0" ref="L125">
      <text>
        <t xml:space="preserve">Cuota base + cargos.</t>
      </text>
    </comment>
    <comment authorId="0" ref="M125">
      <text>
        <t xml:space="preserve">Capital final del calendario teórico. No equivale al saldo real si hay pagos parciales o atrasos.</t>
      </text>
    </comment>
    <comment authorId="0" ref="N125">
      <text>
        <t xml:space="preserve">Suma de pagos válidos del mismo ID y cuota con fecha igual o anterior al corte.</t>
      </text>
    </comment>
    <comment authorId="0" ref="O125">
      <text>
        <t xml:space="preserve">MIN(amortización pactada; MAX(0; pagado − cargos − interés)). No imputa excedentes a otras cuotas.</t>
      </text>
    </comment>
    <comment authorId="0" ref="P125">
      <text>
        <t xml:space="preserve">MAX(0; total pactado − pagado a esta cuota). Incluye capital, interés y cargos pendientes de ESA cuota.</t>
      </text>
    </comment>
    <comment authorId="0" ref="Q125">
      <text>
        <t xml:space="preserve">Días desde vencimiento hasta corte, solo si venció antes del corte y sigue con saldo.</t>
      </text>
    </comment>
    <comment authorId="0" ref="R125">
      <text>
        <t xml:space="preserve">MAX(0; pagado − cuota pactada). Exceso para revisar: no se traspasa a otra cuota.</t>
      </text>
    </comment>
    <comment authorId="0" ref="S125">
      <text>
        <t xml:space="preserve">Pagada, Vencida, Vence hoy, Por vencer o Exceso sin imputar según fecha y saldo al corte.</t>
      </text>
    </comment>
    <comment authorId="0" ref="T125">
      <text>
        <t xml:space="preserve">Auxiliar para encontrar la primera cuota pendiente. El 999999 indica que esta cuota no tiene saldo pendiente o está fuera del plazo, y no es una fecha real.</t>
      </text>
    </comment>
    <comment authorId="0" ref="C126">
      <text>
        <t xml:space="preserve">Crédito al que corresponde esta cuota.</t>
      </text>
    </comment>
    <comment authorId="0" ref="D126">
      <text>
        <t xml:space="preserve">Número de cuota dentro del crédito.</t>
      </text>
    </comment>
    <comment authorId="0" ref="E126">
      <text>
        <t xml:space="preserve">Fecha según EDATE a partir del primer vencimiento. No ajusta automáticamente feriados.</t>
      </text>
    </comment>
    <comment authorId="0" ref="F126">
      <text>
        <t xml:space="preserve">Capital al inicio del período en el calendario ORIGINAL, sin recalcular por pagos reales.</t>
      </text>
    </comment>
    <comment authorId="0" ref="G126">
      <text>
        <t xml:space="preserve">Tasa efectiva del mes según la base ingresada.</t>
      </text>
    </comment>
    <comment authorId="0" ref="H126">
      <text>
        <t xml:space="preserve">Interés del período = capital inicial × tasa mensual, redondeado a dos decimales.</t>
      </text>
    </comment>
    <comment authorId="0" ref="I126">
      <text>
        <t xml:space="preserve">Capital e interés pactados. La última cuota ajusta el saldo por redondeo.</t>
      </text>
    </comment>
    <comment authorId="0" ref="J126">
      <text>
        <t xml:space="preserve">Capital amortizado TEÓRICO = cuota base − interés, limitado al saldo.</t>
      </text>
    </comment>
    <comment authorId="0" ref="K126">
      <text>
        <t xml:space="preserve">Seguro y otros cargos fijos del mes.</t>
      </text>
    </comment>
    <comment authorId="0" ref="L126">
      <text>
        <t xml:space="preserve">Cuota base + cargos.</t>
      </text>
    </comment>
    <comment authorId="0" ref="M126">
      <text>
        <t xml:space="preserve">Capital final del calendario teórico. No equivale al saldo real si hay pagos parciales o atrasos.</t>
      </text>
    </comment>
    <comment authorId="0" ref="N126">
      <text>
        <t xml:space="preserve">Suma de pagos válidos del mismo ID y cuota con fecha igual o anterior al corte.</t>
      </text>
    </comment>
    <comment authorId="0" ref="O126">
      <text>
        <t xml:space="preserve">MIN(amortización pactada; MAX(0; pagado − cargos − interés)). No imputa excedentes a otras cuotas.</t>
      </text>
    </comment>
    <comment authorId="0" ref="P126">
      <text>
        <t xml:space="preserve">MAX(0; total pactado − pagado a esta cuota). Incluye capital, interés y cargos pendientes de ESA cuota.</t>
      </text>
    </comment>
    <comment authorId="0" ref="Q126">
      <text>
        <t xml:space="preserve">Días desde vencimiento hasta corte, solo si venció antes del corte y sigue con saldo.</t>
      </text>
    </comment>
    <comment authorId="0" ref="R126">
      <text>
        <t xml:space="preserve">MAX(0; pagado − cuota pactada). Exceso para revisar: no se traspasa a otra cuota.</t>
      </text>
    </comment>
    <comment authorId="0" ref="S126">
      <text>
        <t xml:space="preserve">Pagada, Vencida, Vence hoy, Por vencer o Exceso sin imputar según fecha y saldo al corte.</t>
      </text>
    </comment>
    <comment authorId="0" ref="T126">
      <text>
        <t xml:space="preserve">Auxiliar para encontrar la primera cuota pendiente. El 999999 indica que esta cuota no tiene saldo pendiente o está fuera del plazo, y no es una fecha real.</t>
      </text>
    </comment>
    <comment authorId="0" ref="C127">
      <text>
        <t xml:space="preserve">Crédito al que corresponde esta cuota.</t>
      </text>
    </comment>
    <comment authorId="0" ref="D127">
      <text>
        <t xml:space="preserve">Número de cuota dentro del crédito.</t>
      </text>
    </comment>
    <comment authorId="0" ref="E127">
      <text>
        <t xml:space="preserve">Fecha según EDATE a partir del primer vencimiento. No ajusta automáticamente feriados.</t>
      </text>
    </comment>
    <comment authorId="0" ref="F127">
      <text>
        <t xml:space="preserve">Capital al inicio del período en el calendario ORIGINAL, sin recalcular por pagos reales.</t>
      </text>
    </comment>
    <comment authorId="0" ref="G127">
      <text>
        <t xml:space="preserve">Tasa efectiva del mes según la base ingresada.</t>
      </text>
    </comment>
    <comment authorId="0" ref="H127">
      <text>
        <t xml:space="preserve">Interés del período = capital inicial × tasa mensual, redondeado a dos decimales.</t>
      </text>
    </comment>
    <comment authorId="0" ref="I127">
      <text>
        <t xml:space="preserve">Capital e interés pactados. La última cuota ajusta el saldo por redondeo.</t>
      </text>
    </comment>
    <comment authorId="0" ref="J127">
      <text>
        <t xml:space="preserve">Capital amortizado TEÓRICO = cuota base − interés, limitado al saldo.</t>
      </text>
    </comment>
    <comment authorId="0" ref="K127">
      <text>
        <t xml:space="preserve">Seguro y otros cargos fijos del mes.</t>
      </text>
    </comment>
    <comment authorId="0" ref="L127">
      <text>
        <t xml:space="preserve">Cuota base + cargos.</t>
      </text>
    </comment>
    <comment authorId="0" ref="M127">
      <text>
        <t xml:space="preserve">Capital final del calendario teórico. No equivale al saldo real si hay pagos parciales o atrasos.</t>
      </text>
    </comment>
    <comment authorId="0" ref="N127">
      <text>
        <t xml:space="preserve">Suma de pagos válidos del mismo ID y cuota con fecha igual o anterior al corte.</t>
      </text>
    </comment>
    <comment authorId="0" ref="O127">
      <text>
        <t xml:space="preserve">MIN(amortización pactada; MAX(0; pagado − cargos − interés)). No imputa excedentes a otras cuotas.</t>
      </text>
    </comment>
    <comment authorId="0" ref="P127">
      <text>
        <t xml:space="preserve">MAX(0; total pactado − pagado a esta cuota). Incluye capital, interés y cargos pendientes de ESA cuota.</t>
      </text>
    </comment>
    <comment authorId="0" ref="Q127">
      <text>
        <t xml:space="preserve">Días desde vencimiento hasta corte, solo si venció antes del corte y sigue con saldo.</t>
      </text>
    </comment>
    <comment authorId="0" ref="R127">
      <text>
        <t xml:space="preserve">MAX(0; pagado − cuota pactada). Exceso para revisar: no se traspasa a otra cuota.</t>
      </text>
    </comment>
    <comment authorId="0" ref="S127">
      <text>
        <t xml:space="preserve">Pagada, Vencida, Vence hoy, Por vencer o Exceso sin imputar según fecha y saldo al corte.</t>
      </text>
    </comment>
    <comment authorId="0" ref="T127">
      <text>
        <t xml:space="preserve">Auxiliar para encontrar la primera cuota pendiente. El 999999 indica que esta cuota no tiene saldo pendiente o está fuera del plazo, y no es una fecha real.</t>
      </text>
    </comment>
    <comment authorId="0" ref="C128">
      <text>
        <t xml:space="preserve">Crédito al que corresponde esta cuota.</t>
      </text>
    </comment>
    <comment authorId="0" ref="D128">
      <text>
        <t xml:space="preserve">Número de cuota dentro del crédito.</t>
      </text>
    </comment>
    <comment authorId="0" ref="E128">
      <text>
        <t xml:space="preserve">Fecha según EDATE a partir del primer vencimiento. No ajusta automáticamente feriados.</t>
      </text>
    </comment>
    <comment authorId="0" ref="F128">
      <text>
        <t xml:space="preserve">Capital al inicio del período en el calendario ORIGINAL, sin recalcular por pagos reales.</t>
      </text>
    </comment>
    <comment authorId="0" ref="G128">
      <text>
        <t xml:space="preserve">Tasa efectiva del mes según la base ingresada.</t>
      </text>
    </comment>
    <comment authorId="0" ref="H128">
      <text>
        <t xml:space="preserve">Interés del período = capital inicial × tasa mensual, redondeado a dos decimales.</t>
      </text>
    </comment>
    <comment authorId="0" ref="I128">
      <text>
        <t xml:space="preserve">Capital e interés pactados. La última cuota ajusta el saldo por redondeo.</t>
      </text>
    </comment>
    <comment authorId="0" ref="J128">
      <text>
        <t xml:space="preserve">Capital amortizado TEÓRICO = cuota base − interés, limitado al saldo.</t>
      </text>
    </comment>
    <comment authorId="0" ref="K128">
      <text>
        <t xml:space="preserve">Seguro y otros cargos fijos del mes.</t>
      </text>
    </comment>
    <comment authorId="0" ref="L128">
      <text>
        <t xml:space="preserve">Cuota base + cargos.</t>
      </text>
    </comment>
    <comment authorId="0" ref="M128">
      <text>
        <t xml:space="preserve">Capital final del calendario teórico. No equivale al saldo real si hay pagos parciales o atrasos.</t>
      </text>
    </comment>
    <comment authorId="0" ref="N128">
      <text>
        <t xml:space="preserve">Suma de pagos válidos del mismo ID y cuota con fecha igual o anterior al corte.</t>
      </text>
    </comment>
    <comment authorId="0" ref="O128">
      <text>
        <t xml:space="preserve">MIN(amortización pactada; MAX(0; pagado − cargos − interés)). No imputa excedentes a otras cuotas.</t>
      </text>
    </comment>
    <comment authorId="0" ref="P128">
      <text>
        <t xml:space="preserve">MAX(0; total pactado − pagado a esta cuota). Incluye capital, interés y cargos pendientes de ESA cuota.</t>
      </text>
    </comment>
    <comment authorId="0" ref="Q128">
      <text>
        <t xml:space="preserve">Días desde vencimiento hasta corte, solo si venció antes del corte y sigue con saldo.</t>
      </text>
    </comment>
    <comment authorId="0" ref="R128">
      <text>
        <t xml:space="preserve">MAX(0; pagado − cuota pactada). Exceso para revisar: no se traspasa a otra cuota.</t>
      </text>
    </comment>
    <comment authorId="0" ref="S128">
      <text>
        <t xml:space="preserve">Pagada, Vencida, Vence hoy, Por vencer o Exceso sin imputar según fecha y saldo al corte.</t>
      </text>
    </comment>
    <comment authorId="0" ref="T128">
      <text>
        <t xml:space="preserve">Auxiliar para encontrar la primera cuota pendiente. El 999999 indica que esta cuota no tiene saldo pendiente o está fuera del plazo, y no es una fecha real.</t>
      </text>
    </comment>
    <comment authorId="0" ref="C129">
      <text>
        <t xml:space="preserve">Crédito al que corresponde esta cuota.</t>
      </text>
    </comment>
    <comment authorId="0" ref="D129">
      <text>
        <t xml:space="preserve">Número de cuota dentro del crédito.</t>
      </text>
    </comment>
    <comment authorId="0" ref="E129">
      <text>
        <t xml:space="preserve">Fecha según EDATE a partir del primer vencimiento. No ajusta automáticamente feriados.</t>
      </text>
    </comment>
    <comment authorId="0" ref="F129">
      <text>
        <t xml:space="preserve">Capital al inicio del período en el calendario ORIGINAL, sin recalcular por pagos reales.</t>
      </text>
    </comment>
    <comment authorId="0" ref="G129">
      <text>
        <t xml:space="preserve">Tasa efectiva del mes según la base ingresada.</t>
      </text>
    </comment>
    <comment authorId="0" ref="H129">
      <text>
        <t xml:space="preserve">Interés del período = capital inicial × tasa mensual, redondeado a dos decimales.</t>
      </text>
    </comment>
    <comment authorId="0" ref="I129">
      <text>
        <t xml:space="preserve">Capital e interés pactados. La última cuota ajusta el saldo por redondeo.</t>
      </text>
    </comment>
    <comment authorId="0" ref="J129">
      <text>
        <t xml:space="preserve">Capital amortizado TEÓRICO = cuota base − interés, limitado al saldo.</t>
      </text>
    </comment>
    <comment authorId="0" ref="K129">
      <text>
        <t xml:space="preserve">Seguro y otros cargos fijos del mes.</t>
      </text>
    </comment>
    <comment authorId="0" ref="L129">
      <text>
        <t xml:space="preserve">Cuota base + cargos.</t>
      </text>
    </comment>
    <comment authorId="0" ref="M129">
      <text>
        <t xml:space="preserve">Capital final del calendario teórico. No equivale al saldo real si hay pagos parciales o atrasos.</t>
      </text>
    </comment>
    <comment authorId="0" ref="N129">
      <text>
        <t xml:space="preserve">Suma de pagos válidos del mismo ID y cuota con fecha igual o anterior al corte.</t>
      </text>
    </comment>
    <comment authorId="0" ref="O129">
      <text>
        <t xml:space="preserve">MIN(amortización pactada; MAX(0; pagado − cargos − interés)). No imputa excedentes a otras cuotas.</t>
      </text>
    </comment>
    <comment authorId="0" ref="P129">
      <text>
        <t xml:space="preserve">MAX(0; total pactado − pagado a esta cuota). Incluye capital, interés y cargos pendientes de ESA cuota.</t>
      </text>
    </comment>
    <comment authorId="0" ref="Q129">
      <text>
        <t xml:space="preserve">Días desde vencimiento hasta corte, solo si venció antes del corte y sigue con saldo.</t>
      </text>
    </comment>
    <comment authorId="0" ref="R129">
      <text>
        <t xml:space="preserve">MAX(0; pagado − cuota pactada). Exceso para revisar: no se traspasa a otra cuota.</t>
      </text>
    </comment>
    <comment authorId="0" ref="S129">
      <text>
        <t xml:space="preserve">Pagada, Vencida, Vence hoy, Por vencer o Exceso sin imputar según fecha y saldo al corte.</t>
      </text>
    </comment>
    <comment authorId="0" ref="T129">
      <text>
        <t xml:space="preserve">Auxiliar para encontrar la primera cuota pendiente. El 999999 indica que esta cuota no tiene saldo pendiente o está fuera del plazo, y no es una fecha real.</t>
      </text>
    </comment>
    <comment authorId="0" ref="C130">
      <text>
        <t xml:space="preserve">Crédito al que corresponde esta cuota.</t>
      </text>
    </comment>
    <comment authorId="0" ref="D130">
      <text>
        <t xml:space="preserve">Número de cuota dentro del crédito.</t>
      </text>
    </comment>
    <comment authorId="0" ref="E130">
      <text>
        <t xml:space="preserve">Fecha según EDATE a partir del primer vencimiento. No ajusta automáticamente feriados.</t>
      </text>
    </comment>
    <comment authorId="0" ref="F130">
      <text>
        <t xml:space="preserve">Capital al inicio del período en el calendario ORIGINAL, sin recalcular por pagos reales.</t>
      </text>
    </comment>
    <comment authorId="0" ref="G130">
      <text>
        <t xml:space="preserve">Tasa efectiva del mes según la base ingresada.</t>
      </text>
    </comment>
    <comment authorId="0" ref="H130">
      <text>
        <t xml:space="preserve">Interés del período = capital inicial × tasa mensual, redondeado a dos decimales.</t>
      </text>
    </comment>
    <comment authorId="0" ref="I130">
      <text>
        <t xml:space="preserve">Capital e interés pactados. La última cuota ajusta el saldo por redondeo.</t>
      </text>
    </comment>
    <comment authorId="0" ref="J130">
      <text>
        <t xml:space="preserve">Capital amortizado TEÓRICO = cuota base − interés, limitado al saldo.</t>
      </text>
    </comment>
    <comment authorId="0" ref="K130">
      <text>
        <t xml:space="preserve">Seguro y otros cargos fijos del mes.</t>
      </text>
    </comment>
    <comment authorId="0" ref="L130">
      <text>
        <t xml:space="preserve">Cuota base + cargos.</t>
      </text>
    </comment>
    <comment authorId="0" ref="M130">
      <text>
        <t xml:space="preserve">Capital final del calendario teórico. No equivale al saldo real si hay pagos parciales o atrasos.</t>
      </text>
    </comment>
    <comment authorId="0" ref="N130">
      <text>
        <t xml:space="preserve">Suma de pagos válidos del mismo ID y cuota con fecha igual o anterior al corte.</t>
      </text>
    </comment>
    <comment authorId="0" ref="O130">
      <text>
        <t xml:space="preserve">MIN(amortización pactada; MAX(0; pagado − cargos − interés)). No imputa excedentes a otras cuotas.</t>
      </text>
    </comment>
    <comment authorId="0" ref="P130">
      <text>
        <t xml:space="preserve">MAX(0; total pactado − pagado a esta cuota). Incluye capital, interés y cargos pendientes de ESA cuota.</t>
      </text>
    </comment>
    <comment authorId="0" ref="Q130">
      <text>
        <t xml:space="preserve">Días desde vencimiento hasta corte, solo si venció antes del corte y sigue con saldo.</t>
      </text>
    </comment>
    <comment authorId="0" ref="R130">
      <text>
        <t xml:space="preserve">MAX(0; pagado − cuota pactada). Exceso para revisar: no se traspasa a otra cuota.</t>
      </text>
    </comment>
    <comment authorId="0" ref="S130">
      <text>
        <t xml:space="preserve">Pagada, Vencida, Vence hoy, Por vencer o Exceso sin imputar según fecha y saldo al corte.</t>
      </text>
    </comment>
    <comment authorId="0" ref="T130">
      <text>
        <t xml:space="preserve">Auxiliar para encontrar la primera cuota pendiente. El 999999 indica que esta cuota no tiene saldo pendiente o está fuera del plazo, y no es una fecha real.</t>
      </text>
    </comment>
    <comment authorId="0" ref="C131">
      <text>
        <t xml:space="preserve">Crédito al que corresponde esta cuota.</t>
      </text>
    </comment>
    <comment authorId="0" ref="D131">
      <text>
        <t xml:space="preserve">Número de cuota dentro del crédito.</t>
      </text>
    </comment>
    <comment authorId="0" ref="E131">
      <text>
        <t xml:space="preserve">Fecha según EDATE a partir del primer vencimiento. No ajusta automáticamente feriados.</t>
      </text>
    </comment>
    <comment authorId="0" ref="F131">
      <text>
        <t xml:space="preserve">Capital al inicio del período en el calendario ORIGINAL, sin recalcular por pagos reales.</t>
      </text>
    </comment>
    <comment authorId="0" ref="G131">
      <text>
        <t xml:space="preserve">Tasa efectiva del mes según la base ingresada.</t>
      </text>
    </comment>
    <comment authorId="0" ref="H131">
      <text>
        <t xml:space="preserve">Interés del período = capital inicial × tasa mensual, redondeado a dos decimales.</t>
      </text>
    </comment>
    <comment authorId="0" ref="I131">
      <text>
        <t xml:space="preserve">Capital e interés pactados. La última cuota ajusta el saldo por redondeo.</t>
      </text>
    </comment>
    <comment authorId="0" ref="J131">
      <text>
        <t xml:space="preserve">Capital amortizado TEÓRICO = cuota base − interés, limitado al saldo.</t>
      </text>
    </comment>
    <comment authorId="0" ref="K131">
      <text>
        <t xml:space="preserve">Seguro y otros cargos fijos del mes.</t>
      </text>
    </comment>
    <comment authorId="0" ref="L131">
      <text>
        <t xml:space="preserve">Cuota base + cargos.</t>
      </text>
    </comment>
    <comment authorId="0" ref="M131">
      <text>
        <t xml:space="preserve">Capital final del calendario teórico. No equivale al saldo real si hay pagos parciales o atrasos.</t>
      </text>
    </comment>
    <comment authorId="0" ref="N131">
      <text>
        <t xml:space="preserve">Suma de pagos válidos del mismo ID y cuota con fecha igual o anterior al corte.</t>
      </text>
    </comment>
    <comment authorId="0" ref="O131">
      <text>
        <t xml:space="preserve">MIN(amortización pactada; MAX(0; pagado − cargos − interés)). No imputa excedentes a otras cuotas.</t>
      </text>
    </comment>
    <comment authorId="0" ref="P131">
      <text>
        <t xml:space="preserve">MAX(0; total pactado − pagado a esta cuota). Incluye capital, interés y cargos pendientes de ESA cuota.</t>
      </text>
    </comment>
    <comment authorId="0" ref="Q131">
      <text>
        <t xml:space="preserve">Días desde vencimiento hasta corte, solo si venció antes del corte y sigue con saldo.</t>
      </text>
    </comment>
    <comment authorId="0" ref="R131">
      <text>
        <t xml:space="preserve">MAX(0; pagado − cuota pactada). Exceso para revisar: no se traspasa a otra cuota.</t>
      </text>
    </comment>
    <comment authorId="0" ref="S131">
      <text>
        <t xml:space="preserve">Pagada, Vencida, Vence hoy, Por vencer o Exceso sin imputar según fecha y saldo al corte.</t>
      </text>
    </comment>
    <comment authorId="0" ref="T131">
      <text>
        <t xml:space="preserve">Auxiliar para encontrar la primera cuota pendiente. El 999999 indica que esta cuota no tiene saldo pendiente o está fuera del plazo, y no es una fecha real.</t>
      </text>
    </comment>
    <comment authorId="0" ref="C132">
      <text>
        <t xml:space="preserve">Crédito al que corresponde esta cuota.</t>
      </text>
    </comment>
    <comment authorId="0" ref="D132">
      <text>
        <t xml:space="preserve">Número de cuota dentro del crédito.</t>
      </text>
    </comment>
    <comment authorId="0" ref="E132">
      <text>
        <t xml:space="preserve">Fecha según EDATE a partir del primer vencimiento. No ajusta automáticamente feriados.</t>
      </text>
    </comment>
    <comment authorId="0" ref="F132">
      <text>
        <t xml:space="preserve">Capital al inicio del período en el calendario ORIGINAL, sin recalcular por pagos reales.</t>
      </text>
    </comment>
    <comment authorId="0" ref="G132">
      <text>
        <t xml:space="preserve">Tasa efectiva del mes según la base ingresada.</t>
      </text>
    </comment>
    <comment authorId="0" ref="H132">
      <text>
        <t xml:space="preserve">Interés del período = capital inicial × tasa mensual, redondeado a dos decimales.</t>
      </text>
    </comment>
    <comment authorId="0" ref="I132">
      <text>
        <t xml:space="preserve">Capital e interés pactados. La última cuota ajusta el saldo por redondeo.</t>
      </text>
    </comment>
    <comment authorId="0" ref="J132">
      <text>
        <t xml:space="preserve">Capital amortizado TEÓRICO = cuota base − interés, limitado al saldo.</t>
      </text>
    </comment>
    <comment authorId="0" ref="K132">
      <text>
        <t xml:space="preserve">Seguro y otros cargos fijos del mes.</t>
      </text>
    </comment>
    <comment authorId="0" ref="L132">
      <text>
        <t xml:space="preserve">Cuota base + cargos.</t>
      </text>
    </comment>
    <comment authorId="0" ref="M132">
      <text>
        <t xml:space="preserve">Capital final del calendario teórico. No equivale al saldo real si hay pagos parciales o atrasos.</t>
      </text>
    </comment>
    <comment authorId="0" ref="N132">
      <text>
        <t xml:space="preserve">Suma de pagos válidos del mismo ID y cuota con fecha igual o anterior al corte.</t>
      </text>
    </comment>
    <comment authorId="0" ref="O132">
      <text>
        <t xml:space="preserve">MIN(amortización pactada; MAX(0; pagado − cargos − interés)). No imputa excedentes a otras cuotas.</t>
      </text>
    </comment>
    <comment authorId="0" ref="P132">
      <text>
        <t xml:space="preserve">MAX(0; total pactado − pagado a esta cuota). Incluye capital, interés y cargos pendientes de ESA cuota.</t>
      </text>
    </comment>
    <comment authorId="0" ref="Q132">
      <text>
        <t xml:space="preserve">Días desde vencimiento hasta corte, solo si venció antes del corte y sigue con saldo.</t>
      </text>
    </comment>
    <comment authorId="0" ref="R132">
      <text>
        <t xml:space="preserve">MAX(0; pagado − cuota pactada). Exceso para revisar: no se traspasa a otra cuota.</t>
      </text>
    </comment>
    <comment authorId="0" ref="S132">
      <text>
        <t xml:space="preserve">Pagada, Vencida, Vence hoy, Por vencer o Exceso sin imputar según fecha y saldo al corte.</t>
      </text>
    </comment>
    <comment authorId="0" ref="T132">
      <text>
        <t xml:space="preserve">Auxiliar para encontrar la primera cuota pendiente. El 999999 indica que esta cuota no tiene saldo pendiente o está fuera del plazo, y no es una fecha real.</t>
      </text>
    </comment>
    <comment authorId="0" ref="C133">
      <text>
        <t xml:space="preserve">Crédito al que corresponde esta cuota.</t>
      </text>
    </comment>
    <comment authorId="0" ref="D133">
      <text>
        <t xml:space="preserve">Número de cuota dentro del crédito.</t>
      </text>
    </comment>
    <comment authorId="0" ref="E133">
      <text>
        <t xml:space="preserve">Fecha según EDATE a partir del primer vencimiento. No ajusta automáticamente feriados.</t>
      </text>
    </comment>
    <comment authorId="0" ref="F133">
      <text>
        <t xml:space="preserve">Capital al inicio del período en el calendario ORIGINAL, sin recalcular por pagos reales.</t>
      </text>
    </comment>
    <comment authorId="0" ref="G133">
      <text>
        <t xml:space="preserve">Tasa efectiva del mes según la base ingresada.</t>
      </text>
    </comment>
    <comment authorId="0" ref="H133">
      <text>
        <t xml:space="preserve">Interés del período = capital inicial × tasa mensual, redondeado a dos decimales.</t>
      </text>
    </comment>
    <comment authorId="0" ref="I133">
      <text>
        <t xml:space="preserve">Capital e interés pactados. La última cuota ajusta el saldo por redondeo.</t>
      </text>
    </comment>
    <comment authorId="0" ref="J133">
      <text>
        <t xml:space="preserve">Capital amortizado TEÓRICO = cuota base − interés, limitado al saldo.</t>
      </text>
    </comment>
    <comment authorId="0" ref="K133">
      <text>
        <t xml:space="preserve">Seguro y otros cargos fijos del mes.</t>
      </text>
    </comment>
    <comment authorId="0" ref="L133">
      <text>
        <t xml:space="preserve">Cuota base + cargos.</t>
      </text>
    </comment>
    <comment authorId="0" ref="M133">
      <text>
        <t xml:space="preserve">Capital final del calendario teórico. No equivale al saldo real si hay pagos parciales o atrasos.</t>
      </text>
    </comment>
    <comment authorId="0" ref="N133">
      <text>
        <t xml:space="preserve">Suma de pagos válidos del mismo ID y cuota con fecha igual o anterior al corte.</t>
      </text>
    </comment>
    <comment authorId="0" ref="O133">
      <text>
        <t xml:space="preserve">MIN(amortización pactada; MAX(0; pagado − cargos − interés)). No imputa excedentes a otras cuotas.</t>
      </text>
    </comment>
    <comment authorId="0" ref="P133">
      <text>
        <t xml:space="preserve">MAX(0; total pactado − pagado a esta cuota). Incluye capital, interés y cargos pendientes de ESA cuota.</t>
      </text>
    </comment>
    <comment authorId="0" ref="Q133">
      <text>
        <t xml:space="preserve">Días desde vencimiento hasta corte, solo si venció antes del corte y sigue con saldo.</t>
      </text>
    </comment>
    <comment authorId="0" ref="R133">
      <text>
        <t xml:space="preserve">MAX(0; pagado − cuota pactada). Exceso para revisar: no se traspasa a otra cuota.</t>
      </text>
    </comment>
    <comment authorId="0" ref="S133">
      <text>
        <t xml:space="preserve">Pagada, Vencida, Vence hoy, Por vencer o Exceso sin imputar según fecha y saldo al corte.</t>
      </text>
    </comment>
    <comment authorId="0" ref="T133">
      <text>
        <t xml:space="preserve">Auxiliar para encontrar la primera cuota pendiente. El 999999 indica que esta cuota no tiene saldo pendiente o está fuera del plazo, y no es una fecha real.</t>
      </text>
    </comment>
    <comment authorId="0" ref="C134">
      <text>
        <t xml:space="preserve">Crédito al que corresponde esta cuota.</t>
      </text>
    </comment>
    <comment authorId="0" ref="D134">
      <text>
        <t xml:space="preserve">Número de cuota dentro del crédito.</t>
      </text>
    </comment>
    <comment authorId="0" ref="E134">
      <text>
        <t xml:space="preserve">Fecha según EDATE a partir del primer vencimiento. No ajusta automáticamente feriados.</t>
      </text>
    </comment>
    <comment authorId="0" ref="F134">
      <text>
        <t xml:space="preserve">Capital al inicio del período en el calendario ORIGINAL, sin recalcular por pagos reales.</t>
      </text>
    </comment>
    <comment authorId="0" ref="G134">
      <text>
        <t xml:space="preserve">Tasa efectiva del mes según la base ingresada.</t>
      </text>
    </comment>
    <comment authorId="0" ref="H134">
      <text>
        <t xml:space="preserve">Interés del período = capital inicial × tasa mensual, redondeado a dos decimales.</t>
      </text>
    </comment>
    <comment authorId="0" ref="I134">
      <text>
        <t xml:space="preserve">Capital e interés pactados. La última cuota ajusta el saldo por redondeo.</t>
      </text>
    </comment>
    <comment authorId="0" ref="J134">
      <text>
        <t xml:space="preserve">Capital amortizado TEÓRICO = cuota base − interés, limitado al saldo.</t>
      </text>
    </comment>
    <comment authorId="0" ref="K134">
      <text>
        <t xml:space="preserve">Seguro y otros cargos fijos del mes.</t>
      </text>
    </comment>
    <comment authorId="0" ref="L134">
      <text>
        <t xml:space="preserve">Cuota base + cargos.</t>
      </text>
    </comment>
    <comment authorId="0" ref="M134">
      <text>
        <t xml:space="preserve">Capital final del calendario teórico. No equivale al saldo real si hay pagos parciales o atrasos.</t>
      </text>
    </comment>
    <comment authorId="0" ref="N134">
      <text>
        <t xml:space="preserve">Suma de pagos válidos del mismo ID y cuota con fecha igual o anterior al corte.</t>
      </text>
    </comment>
    <comment authorId="0" ref="O134">
      <text>
        <t xml:space="preserve">MIN(amortización pactada; MAX(0; pagado − cargos − interés)). No imputa excedentes a otras cuotas.</t>
      </text>
    </comment>
    <comment authorId="0" ref="P134">
      <text>
        <t xml:space="preserve">MAX(0; total pactado − pagado a esta cuota). Incluye capital, interés y cargos pendientes de ESA cuota.</t>
      </text>
    </comment>
    <comment authorId="0" ref="Q134">
      <text>
        <t xml:space="preserve">Días desde vencimiento hasta corte, solo si venció antes del corte y sigue con saldo.</t>
      </text>
    </comment>
    <comment authorId="0" ref="R134">
      <text>
        <t xml:space="preserve">MAX(0; pagado − cuota pactada). Exceso para revisar: no se traspasa a otra cuota.</t>
      </text>
    </comment>
    <comment authorId="0" ref="S134">
      <text>
        <t xml:space="preserve">Pagada, Vencida, Vence hoy, Por vencer o Exceso sin imputar según fecha y saldo al corte.</t>
      </text>
    </comment>
    <comment authorId="0" ref="T134">
      <text>
        <t xml:space="preserve">Auxiliar para encontrar la primera cuota pendiente. El 999999 indica que esta cuota no tiene saldo pendiente o está fuera del plazo, y no es una fecha real.</t>
      </text>
    </comment>
    <comment authorId="0" ref="C135">
      <text>
        <t xml:space="preserve">Crédito al que corresponde esta cuota.</t>
      </text>
    </comment>
    <comment authorId="0" ref="D135">
      <text>
        <t xml:space="preserve">Número de cuota dentro del crédito.</t>
      </text>
    </comment>
    <comment authorId="0" ref="E135">
      <text>
        <t xml:space="preserve">Fecha según EDATE a partir del primer vencimiento. No ajusta automáticamente feriados.</t>
      </text>
    </comment>
    <comment authorId="0" ref="F135">
      <text>
        <t xml:space="preserve">Capital al inicio del período en el calendario ORIGINAL, sin recalcular por pagos reales.</t>
      </text>
    </comment>
    <comment authorId="0" ref="G135">
      <text>
        <t xml:space="preserve">Tasa efectiva del mes según la base ingresada.</t>
      </text>
    </comment>
    <comment authorId="0" ref="H135">
      <text>
        <t xml:space="preserve">Interés del período = capital inicial × tasa mensual, redondeado a dos decimales.</t>
      </text>
    </comment>
    <comment authorId="0" ref="I135">
      <text>
        <t xml:space="preserve">Capital e interés pactados. La última cuota ajusta el saldo por redondeo.</t>
      </text>
    </comment>
    <comment authorId="0" ref="J135">
      <text>
        <t xml:space="preserve">Capital amortizado TEÓRICO = cuota base − interés, limitado al saldo.</t>
      </text>
    </comment>
    <comment authorId="0" ref="K135">
      <text>
        <t xml:space="preserve">Seguro y otros cargos fijos del mes.</t>
      </text>
    </comment>
    <comment authorId="0" ref="L135">
      <text>
        <t xml:space="preserve">Cuota base + cargos.</t>
      </text>
    </comment>
    <comment authorId="0" ref="M135">
      <text>
        <t xml:space="preserve">Capital final del calendario teórico. No equivale al saldo real si hay pagos parciales o atrasos.</t>
      </text>
    </comment>
    <comment authorId="0" ref="N135">
      <text>
        <t xml:space="preserve">Suma de pagos válidos del mismo ID y cuota con fecha igual o anterior al corte.</t>
      </text>
    </comment>
    <comment authorId="0" ref="O135">
      <text>
        <t xml:space="preserve">MIN(amortización pactada; MAX(0; pagado − cargos − interés)). No imputa excedentes a otras cuotas.</t>
      </text>
    </comment>
    <comment authorId="0" ref="P135">
      <text>
        <t xml:space="preserve">MAX(0; total pactado − pagado a esta cuota). Incluye capital, interés y cargos pendientes de ESA cuota.</t>
      </text>
    </comment>
    <comment authorId="0" ref="Q135">
      <text>
        <t xml:space="preserve">Días desde vencimiento hasta corte, solo si venció antes del corte y sigue con saldo.</t>
      </text>
    </comment>
    <comment authorId="0" ref="R135">
      <text>
        <t xml:space="preserve">MAX(0; pagado − cuota pactada). Exceso para revisar: no se traspasa a otra cuota.</t>
      </text>
    </comment>
    <comment authorId="0" ref="S135">
      <text>
        <t xml:space="preserve">Pagada, Vencida, Vence hoy, Por vencer o Exceso sin imputar según fecha y saldo al corte.</t>
      </text>
    </comment>
    <comment authorId="0" ref="T135">
      <text>
        <t xml:space="preserve">Auxiliar para encontrar la primera cuota pendiente. El 999999 indica que esta cuota no tiene saldo pendiente o está fuera del plazo, y no es una fecha real.</t>
      </text>
    </comment>
    <comment authorId="0" ref="C136">
      <text>
        <t xml:space="preserve">Crédito al que corresponde esta cuota.</t>
      </text>
    </comment>
    <comment authorId="0" ref="D136">
      <text>
        <t xml:space="preserve">Número de cuota dentro del crédito.</t>
      </text>
    </comment>
    <comment authorId="0" ref="E136">
      <text>
        <t xml:space="preserve">Fecha según EDATE a partir del primer vencimiento. No ajusta automáticamente feriados.</t>
      </text>
    </comment>
    <comment authorId="0" ref="F136">
      <text>
        <t xml:space="preserve">Capital al inicio del período en el calendario ORIGINAL, sin recalcular por pagos reales.</t>
      </text>
    </comment>
    <comment authorId="0" ref="G136">
      <text>
        <t xml:space="preserve">Tasa efectiva del mes según la base ingresada.</t>
      </text>
    </comment>
    <comment authorId="0" ref="H136">
      <text>
        <t xml:space="preserve">Interés del período = capital inicial × tasa mensual, redondeado a dos decimales.</t>
      </text>
    </comment>
    <comment authorId="0" ref="I136">
      <text>
        <t xml:space="preserve">Capital e interés pactados. La última cuota ajusta el saldo por redondeo.</t>
      </text>
    </comment>
    <comment authorId="0" ref="J136">
      <text>
        <t xml:space="preserve">Capital amortizado TEÓRICO = cuota base − interés, limitado al saldo.</t>
      </text>
    </comment>
    <comment authorId="0" ref="K136">
      <text>
        <t xml:space="preserve">Seguro y otros cargos fijos del mes.</t>
      </text>
    </comment>
    <comment authorId="0" ref="L136">
      <text>
        <t xml:space="preserve">Cuota base + cargos.</t>
      </text>
    </comment>
    <comment authorId="0" ref="M136">
      <text>
        <t xml:space="preserve">Capital final del calendario teórico. No equivale al saldo real si hay pagos parciales o atrasos.</t>
      </text>
    </comment>
    <comment authorId="0" ref="N136">
      <text>
        <t xml:space="preserve">Suma de pagos válidos del mismo ID y cuota con fecha igual o anterior al corte.</t>
      </text>
    </comment>
    <comment authorId="0" ref="O136">
      <text>
        <t xml:space="preserve">MIN(amortización pactada; MAX(0; pagado − cargos − interés)). No imputa excedentes a otras cuotas.</t>
      </text>
    </comment>
    <comment authorId="0" ref="P136">
      <text>
        <t xml:space="preserve">MAX(0; total pactado − pagado a esta cuota). Incluye capital, interés y cargos pendientes de ESA cuota.</t>
      </text>
    </comment>
    <comment authorId="0" ref="Q136">
      <text>
        <t xml:space="preserve">Días desde vencimiento hasta corte, solo si venció antes del corte y sigue con saldo.</t>
      </text>
    </comment>
    <comment authorId="0" ref="R136">
      <text>
        <t xml:space="preserve">MAX(0; pagado − cuota pactada). Exceso para revisar: no se traspasa a otra cuota.</t>
      </text>
    </comment>
    <comment authorId="0" ref="S136">
      <text>
        <t xml:space="preserve">Pagada, Vencida, Vence hoy, Por vencer o Exceso sin imputar según fecha y saldo al corte.</t>
      </text>
    </comment>
    <comment authorId="0" ref="T136">
      <text>
        <t xml:space="preserve">Auxiliar para encontrar la primera cuota pendiente. El 999999 indica que esta cuota no tiene saldo pendiente o está fuera del plazo, y no es una fecha real.</t>
      </text>
    </comment>
    <comment authorId="0" ref="C137">
      <text>
        <t xml:space="preserve">Crédito al que corresponde esta cuota.</t>
      </text>
    </comment>
    <comment authorId="0" ref="D137">
      <text>
        <t xml:space="preserve">Número de cuota dentro del crédito.</t>
      </text>
    </comment>
    <comment authorId="0" ref="E137">
      <text>
        <t xml:space="preserve">Fecha según EDATE a partir del primer vencimiento. No ajusta automáticamente feriados.</t>
      </text>
    </comment>
    <comment authorId="0" ref="F137">
      <text>
        <t xml:space="preserve">Capital al inicio del período en el calendario ORIGINAL, sin recalcular por pagos reales.</t>
      </text>
    </comment>
    <comment authorId="0" ref="G137">
      <text>
        <t xml:space="preserve">Tasa efectiva del mes según la base ingresada.</t>
      </text>
    </comment>
    <comment authorId="0" ref="H137">
      <text>
        <t xml:space="preserve">Interés del período = capital inicial × tasa mensual, redondeado a dos decimales.</t>
      </text>
    </comment>
    <comment authorId="0" ref="I137">
      <text>
        <t xml:space="preserve">Capital e interés pactados. La última cuota ajusta el saldo por redondeo.</t>
      </text>
    </comment>
    <comment authorId="0" ref="J137">
      <text>
        <t xml:space="preserve">Capital amortizado TEÓRICO = cuota base − interés, limitado al saldo.</t>
      </text>
    </comment>
    <comment authorId="0" ref="K137">
      <text>
        <t xml:space="preserve">Seguro y otros cargos fijos del mes.</t>
      </text>
    </comment>
    <comment authorId="0" ref="L137">
      <text>
        <t xml:space="preserve">Cuota base + cargos.</t>
      </text>
    </comment>
    <comment authorId="0" ref="M137">
      <text>
        <t xml:space="preserve">Capital final del calendario teórico. No equivale al saldo real si hay pagos parciales o atrasos.</t>
      </text>
    </comment>
    <comment authorId="0" ref="N137">
      <text>
        <t xml:space="preserve">Suma de pagos válidos del mismo ID y cuota con fecha igual o anterior al corte.</t>
      </text>
    </comment>
    <comment authorId="0" ref="O137">
      <text>
        <t xml:space="preserve">MIN(amortización pactada; MAX(0; pagado − cargos − interés)). No imputa excedentes a otras cuotas.</t>
      </text>
    </comment>
    <comment authorId="0" ref="P137">
      <text>
        <t xml:space="preserve">MAX(0; total pactado − pagado a esta cuota). Incluye capital, interés y cargos pendientes de ESA cuota.</t>
      </text>
    </comment>
    <comment authorId="0" ref="Q137">
      <text>
        <t xml:space="preserve">Días desde vencimiento hasta corte, solo si venció antes del corte y sigue con saldo.</t>
      </text>
    </comment>
    <comment authorId="0" ref="R137">
      <text>
        <t xml:space="preserve">MAX(0; pagado − cuota pactada). Exceso para revisar: no se traspasa a otra cuota.</t>
      </text>
    </comment>
    <comment authorId="0" ref="S137">
      <text>
        <t xml:space="preserve">Pagada, Vencida, Vence hoy, Por vencer o Exceso sin imputar según fecha y saldo al corte.</t>
      </text>
    </comment>
    <comment authorId="0" ref="T137">
      <text>
        <t xml:space="preserve">Auxiliar para encontrar la primera cuota pendiente. El 999999 indica que esta cuota no tiene saldo pendiente o está fuera del plazo, y no es una fecha real.</t>
      </text>
    </comment>
    <comment authorId="0" ref="C138">
      <text>
        <t xml:space="preserve">Crédito al que corresponde esta cuota.</t>
      </text>
    </comment>
    <comment authorId="0" ref="D138">
      <text>
        <t xml:space="preserve">Número de cuota dentro del crédito.</t>
      </text>
    </comment>
    <comment authorId="0" ref="E138">
      <text>
        <t xml:space="preserve">Fecha según EDATE a partir del primer vencimiento. No ajusta automáticamente feriados.</t>
      </text>
    </comment>
    <comment authorId="0" ref="F138">
      <text>
        <t xml:space="preserve">Capital al inicio del período en el calendario ORIGINAL, sin recalcular por pagos reales.</t>
      </text>
    </comment>
    <comment authorId="0" ref="G138">
      <text>
        <t xml:space="preserve">Tasa efectiva del mes según la base ingresada.</t>
      </text>
    </comment>
    <comment authorId="0" ref="H138">
      <text>
        <t xml:space="preserve">Interés del período = capital inicial × tasa mensual, redondeado a dos decimales.</t>
      </text>
    </comment>
    <comment authorId="0" ref="I138">
      <text>
        <t xml:space="preserve">Capital e interés pactados. La última cuota ajusta el saldo por redondeo.</t>
      </text>
    </comment>
    <comment authorId="0" ref="J138">
      <text>
        <t xml:space="preserve">Capital amortizado TEÓRICO = cuota base − interés, limitado al saldo.</t>
      </text>
    </comment>
    <comment authorId="0" ref="K138">
      <text>
        <t xml:space="preserve">Seguro y otros cargos fijos del mes.</t>
      </text>
    </comment>
    <comment authorId="0" ref="L138">
      <text>
        <t xml:space="preserve">Cuota base + cargos.</t>
      </text>
    </comment>
    <comment authorId="0" ref="M138">
      <text>
        <t xml:space="preserve">Capital final del calendario teórico. No equivale al saldo real si hay pagos parciales o atrasos.</t>
      </text>
    </comment>
    <comment authorId="0" ref="N138">
      <text>
        <t xml:space="preserve">Suma de pagos válidos del mismo ID y cuota con fecha igual o anterior al corte.</t>
      </text>
    </comment>
    <comment authorId="0" ref="O138">
      <text>
        <t xml:space="preserve">MIN(amortización pactada; MAX(0; pagado − cargos − interés)). No imputa excedentes a otras cuotas.</t>
      </text>
    </comment>
    <comment authorId="0" ref="P138">
      <text>
        <t xml:space="preserve">MAX(0; total pactado − pagado a esta cuota). Incluye capital, interés y cargos pendientes de ESA cuota.</t>
      </text>
    </comment>
    <comment authorId="0" ref="Q138">
      <text>
        <t xml:space="preserve">Días desde vencimiento hasta corte, solo si venció antes del corte y sigue con saldo.</t>
      </text>
    </comment>
    <comment authorId="0" ref="R138">
      <text>
        <t xml:space="preserve">MAX(0; pagado − cuota pactada). Exceso para revisar: no se traspasa a otra cuota.</t>
      </text>
    </comment>
    <comment authorId="0" ref="S138">
      <text>
        <t xml:space="preserve">Pagada, Vencida, Vence hoy, Por vencer o Exceso sin imputar según fecha y saldo al corte.</t>
      </text>
    </comment>
    <comment authorId="0" ref="T138">
      <text>
        <t xml:space="preserve">Auxiliar para encontrar la primera cuota pendiente. El 999999 indica que esta cuota no tiene saldo pendiente o está fuera del plazo, y no es una fecha real.</t>
      </text>
    </comment>
    <comment authorId="0" ref="C139">
      <text>
        <t xml:space="preserve">Crédito al que corresponde esta cuota.</t>
      </text>
    </comment>
    <comment authorId="0" ref="D139">
      <text>
        <t xml:space="preserve">Número de cuota dentro del crédito.</t>
      </text>
    </comment>
    <comment authorId="0" ref="E139">
      <text>
        <t xml:space="preserve">Fecha según EDATE a partir del primer vencimiento. No ajusta automáticamente feriados.</t>
      </text>
    </comment>
    <comment authorId="0" ref="F139">
      <text>
        <t xml:space="preserve">Capital al inicio del período en el calendario ORIGINAL, sin recalcular por pagos reales.</t>
      </text>
    </comment>
    <comment authorId="0" ref="G139">
      <text>
        <t xml:space="preserve">Tasa efectiva del mes según la base ingresada.</t>
      </text>
    </comment>
    <comment authorId="0" ref="H139">
      <text>
        <t xml:space="preserve">Interés del período = capital inicial × tasa mensual, redondeado a dos decimales.</t>
      </text>
    </comment>
    <comment authorId="0" ref="I139">
      <text>
        <t xml:space="preserve">Capital e interés pactados. La última cuota ajusta el saldo por redondeo.</t>
      </text>
    </comment>
    <comment authorId="0" ref="J139">
      <text>
        <t xml:space="preserve">Capital amortizado TEÓRICO = cuota base − interés, limitado al saldo.</t>
      </text>
    </comment>
    <comment authorId="0" ref="K139">
      <text>
        <t xml:space="preserve">Seguro y otros cargos fijos del mes.</t>
      </text>
    </comment>
    <comment authorId="0" ref="L139">
      <text>
        <t xml:space="preserve">Cuota base + cargos.</t>
      </text>
    </comment>
    <comment authorId="0" ref="M139">
      <text>
        <t xml:space="preserve">Capital final del calendario teórico. No equivale al saldo real si hay pagos parciales o atrasos.</t>
      </text>
    </comment>
    <comment authorId="0" ref="N139">
      <text>
        <t xml:space="preserve">Suma de pagos válidos del mismo ID y cuota con fecha igual o anterior al corte.</t>
      </text>
    </comment>
    <comment authorId="0" ref="O139">
      <text>
        <t xml:space="preserve">MIN(amortización pactada; MAX(0; pagado − cargos − interés)). No imputa excedentes a otras cuotas.</t>
      </text>
    </comment>
    <comment authorId="0" ref="P139">
      <text>
        <t xml:space="preserve">MAX(0; total pactado − pagado a esta cuota). Incluye capital, interés y cargos pendientes de ESA cuota.</t>
      </text>
    </comment>
    <comment authorId="0" ref="Q139">
      <text>
        <t xml:space="preserve">Días desde vencimiento hasta corte, solo si venció antes del corte y sigue con saldo.</t>
      </text>
    </comment>
    <comment authorId="0" ref="R139">
      <text>
        <t xml:space="preserve">MAX(0; pagado − cuota pactada). Exceso para revisar: no se traspasa a otra cuota.</t>
      </text>
    </comment>
    <comment authorId="0" ref="S139">
      <text>
        <t xml:space="preserve">Pagada, Vencida, Vence hoy, Por vencer o Exceso sin imputar según fecha y saldo al corte.</t>
      </text>
    </comment>
    <comment authorId="0" ref="T139">
      <text>
        <t xml:space="preserve">Auxiliar para encontrar la primera cuota pendiente. El 999999 indica que esta cuota no tiene saldo pendiente o está fuera del plazo, y no es una fecha real.</t>
      </text>
    </comment>
    <comment authorId="0" ref="C140">
      <text>
        <t xml:space="preserve">Crédito al que corresponde esta cuota.</t>
      </text>
    </comment>
    <comment authorId="0" ref="D140">
      <text>
        <t xml:space="preserve">Número de cuota dentro del crédito.</t>
      </text>
    </comment>
    <comment authorId="0" ref="E140">
      <text>
        <t xml:space="preserve">Fecha según EDATE a partir del primer vencimiento. No ajusta automáticamente feriados.</t>
      </text>
    </comment>
    <comment authorId="0" ref="F140">
      <text>
        <t xml:space="preserve">Capital al inicio del período en el calendario ORIGINAL, sin recalcular por pagos reales.</t>
      </text>
    </comment>
    <comment authorId="0" ref="G140">
      <text>
        <t xml:space="preserve">Tasa efectiva del mes según la base ingresada.</t>
      </text>
    </comment>
    <comment authorId="0" ref="H140">
      <text>
        <t xml:space="preserve">Interés del período = capital inicial × tasa mensual, redondeado a dos decimales.</t>
      </text>
    </comment>
    <comment authorId="0" ref="I140">
      <text>
        <t xml:space="preserve">Capital e interés pactados. La última cuota ajusta el saldo por redondeo.</t>
      </text>
    </comment>
    <comment authorId="0" ref="J140">
      <text>
        <t xml:space="preserve">Capital amortizado TEÓRICO = cuota base − interés, limitado al saldo.</t>
      </text>
    </comment>
    <comment authorId="0" ref="K140">
      <text>
        <t xml:space="preserve">Seguro y otros cargos fijos del mes.</t>
      </text>
    </comment>
    <comment authorId="0" ref="L140">
      <text>
        <t xml:space="preserve">Cuota base + cargos.</t>
      </text>
    </comment>
    <comment authorId="0" ref="M140">
      <text>
        <t xml:space="preserve">Capital final del calendario teórico. No equivale al saldo real si hay pagos parciales o atrasos.</t>
      </text>
    </comment>
    <comment authorId="0" ref="N140">
      <text>
        <t xml:space="preserve">Suma de pagos válidos del mismo ID y cuota con fecha igual o anterior al corte.</t>
      </text>
    </comment>
    <comment authorId="0" ref="O140">
      <text>
        <t xml:space="preserve">MIN(amortización pactada; MAX(0; pagado − cargos − interés)). No imputa excedentes a otras cuotas.</t>
      </text>
    </comment>
    <comment authorId="0" ref="P140">
      <text>
        <t xml:space="preserve">MAX(0; total pactado − pagado a esta cuota). Incluye capital, interés y cargos pendientes de ESA cuota.</t>
      </text>
    </comment>
    <comment authorId="0" ref="Q140">
      <text>
        <t xml:space="preserve">Días desde vencimiento hasta corte, solo si venció antes del corte y sigue con saldo.</t>
      </text>
    </comment>
    <comment authorId="0" ref="R140">
      <text>
        <t xml:space="preserve">MAX(0; pagado − cuota pactada). Exceso para revisar: no se traspasa a otra cuota.</t>
      </text>
    </comment>
    <comment authorId="0" ref="S140">
      <text>
        <t xml:space="preserve">Pagada, Vencida, Vence hoy, Por vencer o Exceso sin imputar según fecha y saldo al corte.</t>
      </text>
    </comment>
    <comment authorId="0" ref="T140">
      <text>
        <t xml:space="preserve">Auxiliar para encontrar la primera cuota pendiente. El 999999 indica que esta cuota no tiene saldo pendiente o está fuera del plazo, y no es una fecha real.</t>
      </text>
    </comment>
    <comment authorId="0" ref="C141">
      <text>
        <t xml:space="preserve">Crédito al que corresponde esta cuota.</t>
      </text>
    </comment>
    <comment authorId="0" ref="D141">
      <text>
        <t xml:space="preserve">Número de cuota dentro del crédito.</t>
      </text>
    </comment>
    <comment authorId="0" ref="E141">
      <text>
        <t xml:space="preserve">Fecha según EDATE a partir del primer vencimiento. No ajusta automáticamente feriados.</t>
      </text>
    </comment>
    <comment authorId="0" ref="F141">
      <text>
        <t xml:space="preserve">Capital al inicio del período en el calendario ORIGINAL, sin recalcular por pagos reales.</t>
      </text>
    </comment>
    <comment authorId="0" ref="G141">
      <text>
        <t xml:space="preserve">Tasa efectiva del mes según la base ingresada.</t>
      </text>
    </comment>
    <comment authorId="0" ref="H141">
      <text>
        <t xml:space="preserve">Interés del período = capital inicial × tasa mensual, redondeado a dos decimales.</t>
      </text>
    </comment>
    <comment authorId="0" ref="I141">
      <text>
        <t xml:space="preserve">Capital e interés pactados. La última cuota ajusta el saldo por redondeo.</t>
      </text>
    </comment>
    <comment authorId="0" ref="J141">
      <text>
        <t xml:space="preserve">Capital amortizado TEÓRICO = cuota base − interés, limitado al saldo.</t>
      </text>
    </comment>
    <comment authorId="0" ref="K141">
      <text>
        <t xml:space="preserve">Seguro y otros cargos fijos del mes.</t>
      </text>
    </comment>
    <comment authorId="0" ref="L141">
      <text>
        <t xml:space="preserve">Cuota base + cargos.</t>
      </text>
    </comment>
    <comment authorId="0" ref="M141">
      <text>
        <t xml:space="preserve">Capital final del calendario teórico. No equivale al saldo real si hay pagos parciales o atrasos.</t>
      </text>
    </comment>
    <comment authorId="0" ref="N141">
      <text>
        <t xml:space="preserve">Suma de pagos válidos del mismo ID y cuota con fecha igual o anterior al corte.</t>
      </text>
    </comment>
    <comment authorId="0" ref="O141">
      <text>
        <t xml:space="preserve">MIN(amortización pactada; MAX(0; pagado − cargos − interés)). No imputa excedentes a otras cuotas.</t>
      </text>
    </comment>
    <comment authorId="0" ref="P141">
      <text>
        <t xml:space="preserve">MAX(0; total pactado − pagado a esta cuota). Incluye capital, interés y cargos pendientes de ESA cuota.</t>
      </text>
    </comment>
    <comment authorId="0" ref="Q141">
      <text>
        <t xml:space="preserve">Días desde vencimiento hasta corte, solo si venció antes del corte y sigue con saldo.</t>
      </text>
    </comment>
    <comment authorId="0" ref="R141">
      <text>
        <t xml:space="preserve">MAX(0; pagado − cuota pactada). Exceso para revisar: no se traspasa a otra cuota.</t>
      </text>
    </comment>
    <comment authorId="0" ref="S141">
      <text>
        <t xml:space="preserve">Pagada, Vencida, Vence hoy, Por vencer o Exceso sin imputar según fecha y saldo al corte.</t>
      </text>
    </comment>
    <comment authorId="0" ref="T141">
      <text>
        <t xml:space="preserve">Auxiliar para encontrar la primera cuota pendiente. El 999999 indica que esta cuota no tiene saldo pendiente o está fuera del plazo, y no es una fecha real.</t>
      </text>
    </comment>
    <comment authorId="0" ref="C142">
      <text>
        <t xml:space="preserve">Crédito al que corresponde esta cuota.</t>
      </text>
    </comment>
    <comment authorId="0" ref="D142">
      <text>
        <t xml:space="preserve">Número de cuota dentro del crédito.</t>
      </text>
    </comment>
    <comment authorId="0" ref="E142">
      <text>
        <t xml:space="preserve">Fecha según EDATE a partir del primer vencimiento. No ajusta automáticamente feriados.</t>
      </text>
    </comment>
    <comment authorId="0" ref="F142">
      <text>
        <t xml:space="preserve">Capital al inicio del período en el calendario ORIGINAL, sin recalcular por pagos reales.</t>
      </text>
    </comment>
    <comment authorId="0" ref="G142">
      <text>
        <t xml:space="preserve">Tasa efectiva del mes según la base ingresada.</t>
      </text>
    </comment>
    <comment authorId="0" ref="H142">
      <text>
        <t xml:space="preserve">Interés del período = capital inicial × tasa mensual, redondeado a dos decimales.</t>
      </text>
    </comment>
    <comment authorId="0" ref="I142">
      <text>
        <t xml:space="preserve">Capital e interés pactados. La última cuota ajusta el saldo por redondeo.</t>
      </text>
    </comment>
    <comment authorId="0" ref="J142">
      <text>
        <t xml:space="preserve">Capital amortizado TEÓRICO = cuota base − interés, limitado al saldo.</t>
      </text>
    </comment>
    <comment authorId="0" ref="K142">
      <text>
        <t xml:space="preserve">Seguro y otros cargos fijos del mes.</t>
      </text>
    </comment>
    <comment authorId="0" ref="L142">
      <text>
        <t xml:space="preserve">Cuota base + cargos.</t>
      </text>
    </comment>
    <comment authorId="0" ref="M142">
      <text>
        <t xml:space="preserve">Capital final del calendario teórico. No equivale al saldo real si hay pagos parciales o atrasos.</t>
      </text>
    </comment>
    <comment authorId="0" ref="N142">
      <text>
        <t xml:space="preserve">Suma de pagos válidos del mismo ID y cuota con fecha igual o anterior al corte.</t>
      </text>
    </comment>
    <comment authorId="0" ref="O142">
      <text>
        <t xml:space="preserve">MIN(amortización pactada; MAX(0; pagado − cargos − interés)). No imputa excedentes a otras cuotas.</t>
      </text>
    </comment>
    <comment authorId="0" ref="P142">
      <text>
        <t xml:space="preserve">MAX(0; total pactado − pagado a esta cuota). Incluye capital, interés y cargos pendientes de ESA cuota.</t>
      </text>
    </comment>
    <comment authorId="0" ref="Q142">
      <text>
        <t xml:space="preserve">Días desde vencimiento hasta corte, solo si venció antes del corte y sigue con saldo.</t>
      </text>
    </comment>
    <comment authorId="0" ref="R142">
      <text>
        <t xml:space="preserve">MAX(0; pagado − cuota pactada). Exceso para revisar: no se traspasa a otra cuota.</t>
      </text>
    </comment>
    <comment authorId="0" ref="S142">
      <text>
        <t xml:space="preserve">Pagada, Vencida, Vence hoy, Por vencer o Exceso sin imputar según fecha y saldo al corte.</t>
      </text>
    </comment>
    <comment authorId="0" ref="T142">
      <text>
        <t xml:space="preserve">Auxiliar para encontrar la primera cuota pendiente. El 999999 indica que esta cuota no tiene saldo pendiente o está fuera del plazo, y no es una fecha real.</t>
      </text>
    </comment>
    <comment authorId="0" ref="C143">
      <text>
        <t xml:space="preserve">Crédito al que corresponde esta cuota.</t>
      </text>
    </comment>
    <comment authorId="0" ref="D143">
      <text>
        <t xml:space="preserve">Número de cuota dentro del crédito.</t>
      </text>
    </comment>
    <comment authorId="0" ref="E143">
      <text>
        <t xml:space="preserve">Fecha según EDATE a partir del primer vencimiento. No ajusta automáticamente feriados.</t>
      </text>
    </comment>
    <comment authorId="0" ref="F143">
      <text>
        <t xml:space="preserve">Capital al inicio del período en el calendario ORIGINAL, sin recalcular por pagos reales.</t>
      </text>
    </comment>
    <comment authorId="0" ref="G143">
      <text>
        <t xml:space="preserve">Tasa efectiva del mes según la base ingresada.</t>
      </text>
    </comment>
    <comment authorId="0" ref="H143">
      <text>
        <t xml:space="preserve">Interés del período = capital inicial × tasa mensual, redondeado a dos decimales.</t>
      </text>
    </comment>
    <comment authorId="0" ref="I143">
      <text>
        <t xml:space="preserve">Capital e interés pactados. La última cuota ajusta el saldo por redondeo.</t>
      </text>
    </comment>
    <comment authorId="0" ref="J143">
      <text>
        <t xml:space="preserve">Capital amortizado TEÓRICO = cuota base − interés, limitado al saldo.</t>
      </text>
    </comment>
    <comment authorId="0" ref="K143">
      <text>
        <t xml:space="preserve">Seguro y otros cargos fijos del mes.</t>
      </text>
    </comment>
    <comment authorId="0" ref="L143">
      <text>
        <t xml:space="preserve">Cuota base + cargos.</t>
      </text>
    </comment>
    <comment authorId="0" ref="M143">
      <text>
        <t xml:space="preserve">Capital final del calendario teórico. No equivale al saldo real si hay pagos parciales o atrasos.</t>
      </text>
    </comment>
    <comment authorId="0" ref="N143">
      <text>
        <t xml:space="preserve">Suma de pagos válidos del mismo ID y cuota con fecha igual o anterior al corte.</t>
      </text>
    </comment>
    <comment authorId="0" ref="O143">
      <text>
        <t xml:space="preserve">MIN(amortización pactada; MAX(0; pagado − cargos − interés)). No imputa excedentes a otras cuotas.</t>
      </text>
    </comment>
    <comment authorId="0" ref="P143">
      <text>
        <t xml:space="preserve">MAX(0; total pactado − pagado a esta cuota). Incluye capital, interés y cargos pendientes de ESA cuota.</t>
      </text>
    </comment>
    <comment authorId="0" ref="Q143">
      <text>
        <t xml:space="preserve">Días desde vencimiento hasta corte, solo si venció antes del corte y sigue con saldo.</t>
      </text>
    </comment>
    <comment authorId="0" ref="R143">
      <text>
        <t xml:space="preserve">MAX(0; pagado − cuota pactada). Exceso para revisar: no se traspasa a otra cuota.</t>
      </text>
    </comment>
    <comment authorId="0" ref="S143">
      <text>
        <t xml:space="preserve">Pagada, Vencida, Vence hoy, Por vencer o Exceso sin imputar según fecha y saldo al corte.</t>
      </text>
    </comment>
    <comment authorId="0" ref="T143">
      <text>
        <t xml:space="preserve">Auxiliar para encontrar la primera cuota pendiente. El 999999 indica que esta cuota no tiene saldo pendiente o está fuera del plazo, y no es una fecha real.</t>
      </text>
    </comment>
    <comment authorId="0" ref="C144">
      <text>
        <t xml:space="preserve">Crédito al que corresponde esta cuota.</t>
      </text>
    </comment>
    <comment authorId="0" ref="D144">
      <text>
        <t xml:space="preserve">Número de cuota dentro del crédito.</t>
      </text>
    </comment>
    <comment authorId="0" ref="E144">
      <text>
        <t xml:space="preserve">Fecha según EDATE a partir del primer vencimiento. No ajusta automáticamente feriados.</t>
      </text>
    </comment>
    <comment authorId="0" ref="F144">
      <text>
        <t xml:space="preserve">Capital al inicio del período en el calendario ORIGINAL, sin recalcular por pagos reales.</t>
      </text>
    </comment>
    <comment authorId="0" ref="G144">
      <text>
        <t xml:space="preserve">Tasa efectiva del mes según la base ingresada.</t>
      </text>
    </comment>
    <comment authorId="0" ref="H144">
      <text>
        <t xml:space="preserve">Interés del período = capital inicial × tasa mensual, redondeado a dos decimales.</t>
      </text>
    </comment>
    <comment authorId="0" ref="I144">
      <text>
        <t xml:space="preserve">Capital e interés pactados. La última cuota ajusta el saldo por redondeo.</t>
      </text>
    </comment>
    <comment authorId="0" ref="J144">
      <text>
        <t xml:space="preserve">Capital amortizado TEÓRICO = cuota base − interés, limitado al saldo.</t>
      </text>
    </comment>
    <comment authorId="0" ref="K144">
      <text>
        <t xml:space="preserve">Seguro y otros cargos fijos del mes.</t>
      </text>
    </comment>
    <comment authorId="0" ref="L144">
      <text>
        <t xml:space="preserve">Cuota base + cargos.</t>
      </text>
    </comment>
    <comment authorId="0" ref="M144">
      <text>
        <t xml:space="preserve">Capital final del calendario teórico. No equivale al saldo real si hay pagos parciales o atrasos.</t>
      </text>
    </comment>
    <comment authorId="0" ref="N144">
      <text>
        <t xml:space="preserve">Suma de pagos válidos del mismo ID y cuota con fecha igual o anterior al corte.</t>
      </text>
    </comment>
    <comment authorId="0" ref="O144">
      <text>
        <t xml:space="preserve">MIN(amortización pactada; MAX(0; pagado − cargos − interés)). No imputa excedentes a otras cuotas.</t>
      </text>
    </comment>
    <comment authorId="0" ref="P144">
      <text>
        <t xml:space="preserve">MAX(0; total pactado − pagado a esta cuota). Incluye capital, interés y cargos pendientes de ESA cuota.</t>
      </text>
    </comment>
    <comment authorId="0" ref="Q144">
      <text>
        <t xml:space="preserve">Días desde vencimiento hasta corte, solo si venció antes del corte y sigue con saldo.</t>
      </text>
    </comment>
    <comment authorId="0" ref="R144">
      <text>
        <t xml:space="preserve">MAX(0; pagado − cuota pactada). Exceso para revisar: no se traspasa a otra cuota.</t>
      </text>
    </comment>
    <comment authorId="0" ref="S144">
      <text>
        <t xml:space="preserve">Pagada, Vencida, Vence hoy, Por vencer o Exceso sin imputar según fecha y saldo al corte.</t>
      </text>
    </comment>
    <comment authorId="0" ref="T144">
      <text>
        <t xml:space="preserve">Auxiliar para encontrar la primera cuota pendiente. El 999999 indica que esta cuota no tiene saldo pendiente o está fuera del plazo, y no es una fecha real.</t>
      </text>
    </comment>
    <comment authorId="0" ref="C145">
      <text>
        <t xml:space="preserve">Crédito al que corresponde esta cuota.</t>
      </text>
    </comment>
    <comment authorId="0" ref="D145">
      <text>
        <t xml:space="preserve">Número de cuota dentro del crédito.</t>
      </text>
    </comment>
    <comment authorId="0" ref="E145">
      <text>
        <t xml:space="preserve">Fecha según EDATE a partir del primer vencimiento. No ajusta automáticamente feriados.</t>
      </text>
    </comment>
    <comment authorId="0" ref="F145">
      <text>
        <t xml:space="preserve">Capital al inicio del período en el calendario ORIGINAL, sin recalcular por pagos reales.</t>
      </text>
    </comment>
    <comment authorId="0" ref="G145">
      <text>
        <t xml:space="preserve">Tasa efectiva del mes según la base ingresada.</t>
      </text>
    </comment>
    <comment authorId="0" ref="H145">
      <text>
        <t xml:space="preserve">Interés del período = capital inicial × tasa mensual, redondeado a dos decimales.</t>
      </text>
    </comment>
    <comment authorId="0" ref="I145">
      <text>
        <t xml:space="preserve">Capital e interés pactados. La última cuota ajusta el saldo por redondeo.</t>
      </text>
    </comment>
    <comment authorId="0" ref="J145">
      <text>
        <t xml:space="preserve">Capital amortizado TEÓRICO = cuota base − interés, limitado al saldo.</t>
      </text>
    </comment>
    <comment authorId="0" ref="K145">
      <text>
        <t xml:space="preserve">Seguro y otros cargos fijos del mes.</t>
      </text>
    </comment>
    <comment authorId="0" ref="L145">
      <text>
        <t xml:space="preserve">Cuota base + cargos.</t>
      </text>
    </comment>
    <comment authorId="0" ref="M145">
      <text>
        <t xml:space="preserve">Capital final del calendario teórico. No equivale al saldo real si hay pagos parciales o atrasos.</t>
      </text>
    </comment>
    <comment authorId="0" ref="N145">
      <text>
        <t xml:space="preserve">Suma de pagos válidos del mismo ID y cuota con fecha igual o anterior al corte.</t>
      </text>
    </comment>
    <comment authorId="0" ref="O145">
      <text>
        <t xml:space="preserve">MIN(amortización pactada; MAX(0; pagado − cargos − interés)). No imputa excedentes a otras cuotas.</t>
      </text>
    </comment>
    <comment authorId="0" ref="P145">
      <text>
        <t xml:space="preserve">MAX(0; total pactado − pagado a esta cuota). Incluye capital, interés y cargos pendientes de ESA cuota.</t>
      </text>
    </comment>
    <comment authorId="0" ref="Q145">
      <text>
        <t xml:space="preserve">Días desde vencimiento hasta corte, solo si venció antes del corte y sigue con saldo.</t>
      </text>
    </comment>
    <comment authorId="0" ref="R145">
      <text>
        <t xml:space="preserve">MAX(0; pagado − cuota pactada). Exceso para revisar: no se traspasa a otra cuota.</t>
      </text>
    </comment>
    <comment authorId="0" ref="S145">
      <text>
        <t xml:space="preserve">Pagada, Vencida, Vence hoy, Por vencer o Exceso sin imputar según fecha y saldo al corte.</t>
      </text>
    </comment>
    <comment authorId="0" ref="T145">
      <text>
        <t xml:space="preserve">Auxiliar para encontrar la primera cuota pendiente. El 999999 indica que esta cuota no tiene saldo pendiente o está fuera del plazo, y no es una fecha real.</t>
      </text>
    </comment>
    <comment authorId="0" ref="C146">
      <text>
        <t xml:space="preserve">Crédito al que corresponde esta cuota.</t>
      </text>
    </comment>
    <comment authorId="0" ref="D146">
      <text>
        <t xml:space="preserve">Número de cuota dentro del crédito.</t>
      </text>
    </comment>
    <comment authorId="0" ref="E146">
      <text>
        <t xml:space="preserve">Fecha según EDATE a partir del primer vencimiento. No ajusta automáticamente feriados.</t>
      </text>
    </comment>
    <comment authorId="0" ref="F146">
      <text>
        <t xml:space="preserve">Capital al inicio del período en el calendario ORIGINAL, sin recalcular por pagos reales.</t>
      </text>
    </comment>
    <comment authorId="0" ref="G146">
      <text>
        <t xml:space="preserve">Tasa efectiva del mes según la base ingresada.</t>
      </text>
    </comment>
    <comment authorId="0" ref="H146">
      <text>
        <t xml:space="preserve">Interés del período = capital inicial × tasa mensual, redondeado a dos decimales.</t>
      </text>
    </comment>
    <comment authorId="0" ref="I146">
      <text>
        <t xml:space="preserve">Capital e interés pactados. La última cuota ajusta el saldo por redondeo.</t>
      </text>
    </comment>
    <comment authorId="0" ref="J146">
      <text>
        <t xml:space="preserve">Capital amortizado TEÓRICO = cuota base − interés, limitado al saldo.</t>
      </text>
    </comment>
    <comment authorId="0" ref="K146">
      <text>
        <t xml:space="preserve">Seguro y otros cargos fijos del mes.</t>
      </text>
    </comment>
    <comment authorId="0" ref="L146">
      <text>
        <t xml:space="preserve">Cuota base + cargos.</t>
      </text>
    </comment>
    <comment authorId="0" ref="M146">
      <text>
        <t xml:space="preserve">Capital final del calendario teórico. No equivale al saldo real si hay pagos parciales o atrasos.</t>
      </text>
    </comment>
    <comment authorId="0" ref="N146">
      <text>
        <t xml:space="preserve">Suma de pagos válidos del mismo ID y cuota con fecha igual o anterior al corte.</t>
      </text>
    </comment>
    <comment authorId="0" ref="O146">
      <text>
        <t xml:space="preserve">MIN(amortización pactada; MAX(0; pagado − cargos − interés)). No imputa excedentes a otras cuotas.</t>
      </text>
    </comment>
    <comment authorId="0" ref="P146">
      <text>
        <t xml:space="preserve">MAX(0; total pactado − pagado a esta cuota). Incluye capital, interés y cargos pendientes de ESA cuota.</t>
      </text>
    </comment>
    <comment authorId="0" ref="Q146">
      <text>
        <t xml:space="preserve">Días desde vencimiento hasta corte, solo si venció antes del corte y sigue con saldo.</t>
      </text>
    </comment>
    <comment authorId="0" ref="R146">
      <text>
        <t xml:space="preserve">MAX(0; pagado − cuota pactada). Exceso para revisar: no se traspasa a otra cuota.</t>
      </text>
    </comment>
    <comment authorId="0" ref="S146">
      <text>
        <t xml:space="preserve">Pagada, Vencida, Vence hoy, Por vencer o Exceso sin imputar según fecha y saldo al corte.</t>
      </text>
    </comment>
    <comment authorId="0" ref="T146">
      <text>
        <t xml:space="preserve">Auxiliar para encontrar la primera cuota pendiente. El 999999 indica que esta cuota no tiene saldo pendiente o está fuera del plazo, y no es una fecha real.</t>
      </text>
    </comment>
    <comment authorId="0" ref="C147">
      <text>
        <t xml:space="preserve">Crédito al que corresponde esta cuota.</t>
      </text>
    </comment>
    <comment authorId="0" ref="D147">
      <text>
        <t xml:space="preserve">Número de cuota dentro del crédito.</t>
      </text>
    </comment>
    <comment authorId="0" ref="E147">
      <text>
        <t xml:space="preserve">Fecha según EDATE a partir del primer vencimiento. No ajusta automáticamente feriados.</t>
      </text>
    </comment>
    <comment authorId="0" ref="F147">
      <text>
        <t xml:space="preserve">Capital al inicio del período en el calendario ORIGINAL, sin recalcular por pagos reales.</t>
      </text>
    </comment>
    <comment authorId="0" ref="G147">
      <text>
        <t xml:space="preserve">Tasa efectiva del mes según la base ingresada.</t>
      </text>
    </comment>
    <comment authorId="0" ref="H147">
      <text>
        <t xml:space="preserve">Interés del período = capital inicial × tasa mensual, redondeado a dos decimales.</t>
      </text>
    </comment>
    <comment authorId="0" ref="I147">
      <text>
        <t xml:space="preserve">Capital e interés pactados. La última cuota ajusta el saldo por redondeo.</t>
      </text>
    </comment>
    <comment authorId="0" ref="J147">
      <text>
        <t xml:space="preserve">Capital amortizado TEÓRICO = cuota base − interés, limitado al saldo.</t>
      </text>
    </comment>
    <comment authorId="0" ref="K147">
      <text>
        <t xml:space="preserve">Seguro y otros cargos fijos del mes.</t>
      </text>
    </comment>
    <comment authorId="0" ref="L147">
      <text>
        <t xml:space="preserve">Cuota base + cargos.</t>
      </text>
    </comment>
    <comment authorId="0" ref="M147">
      <text>
        <t xml:space="preserve">Capital final del calendario teórico. No equivale al saldo real si hay pagos parciales o atrasos.</t>
      </text>
    </comment>
    <comment authorId="0" ref="N147">
      <text>
        <t xml:space="preserve">Suma de pagos válidos del mismo ID y cuota con fecha igual o anterior al corte.</t>
      </text>
    </comment>
    <comment authorId="0" ref="O147">
      <text>
        <t xml:space="preserve">MIN(amortización pactada; MAX(0; pagado − cargos − interés)). No imputa excedentes a otras cuotas.</t>
      </text>
    </comment>
    <comment authorId="0" ref="P147">
      <text>
        <t xml:space="preserve">MAX(0; total pactado − pagado a esta cuota). Incluye capital, interés y cargos pendientes de ESA cuota.</t>
      </text>
    </comment>
    <comment authorId="0" ref="Q147">
      <text>
        <t xml:space="preserve">Días desde vencimiento hasta corte, solo si venció antes del corte y sigue con saldo.</t>
      </text>
    </comment>
    <comment authorId="0" ref="R147">
      <text>
        <t xml:space="preserve">MAX(0; pagado − cuota pactada). Exceso para revisar: no se traspasa a otra cuota.</t>
      </text>
    </comment>
    <comment authorId="0" ref="S147">
      <text>
        <t xml:space="preserve">Pagada, Vencida, Vence hoy, Por vencer o Exceso sin imputar según fecha y saldo al corte.</t>
      </text>
    </comment>
    <comment authorId="0" ref="T147">
      <text>
        <t xml:space="preserve">Auxiliar para encontrar la primera cuota pendiente. El 999999 indica que esta cuota no tiene saldo pendiente o está fuera del plazo, y no es una fecha real.</t>
      </text>
    </comment>
    <comment authorId="0" ref="C148">
      <text>
        <t xml:space="preserve">Crédito al que corresponde esta cuota.</t>
      </text>
    </comment>
    <comment authorId="0" ref="D148">
      <text>
        <t xml:space="preserve">Número de cuota dentro del crédito.</t>
      </text>
    </comment>
    <comment authorId="0" ref="E148">
      <text>
        <t xml:space="preserve">Fecha según EDATE a partir del primer vencimiento. No ajusta automáticamente feriados.</t>
      </text>
    </comment>
    <comment authorId="0" ref="F148">
      <text>
        <t xml:space="preserve">Capital al inicio del período en el calendario ORIGINAL, sin recalcular por pagos reales.</t>
      </text>
    </comment>
    <comment authorId="0" ref="G148">
      <text>
        <t xml:space="preserve">Tasa efectiva del mes según la base ingresada.</t>
      </text>
    </comment>
    <comment authorId="0" ref="H148">
      <text>
        <t xml:space="preserve">Interés del período = capital inicial × tasa mensual, redondeado a dos decimales.</t>
      </text>
    </comment>
    <comment authorId="0" ref="I148">
      <text>
        <t xml:space="preserve">Capital e interés pactados. La última cuota ajusta el saldo por redondeo.</t>
      </text>
    </comment>
    <comment authorId="0" ref="J148">
      <text>
        <t xml:space="preserve">Capital amortizado TEÓRICO = cuota base − interés, limitado al saldo.</t>
      </text>
    </comment>
    <comment authorId="0" ref="K148">
      <text>
        <t xml:space="preserve">Seguro y otros cargos fijos del mes.</t>
      </text>
    </comment>
    <comment authorId="0" ref="L148">
      <text>
        <t xml:space="preserve">Cuota base + cargos.</t>
      </text>
    </comment>
    <comment authorId="0" ref="M148">
      <text>
        <t xml:space="preserve">Capital final del calendario teórico. No equivale al saldo real si hay pagos parciales o atrasos.</t>
      </text>
    </comment>
    <comment authorId="0" ref="N148">
      <text>
        <t xml:space="preserve">Suma de pagos válidos del mismo ID y cuota con fecha igual o anterior al corte.</t>
      </text>
    </comment>
    <comment authorId="0" ref="O148">
      <text>
        <t xml:space="preserve">MIN(amortización pactada; MAX(0; pagado − cargos − interés)). No imputa excedentes a otras cuotas.</t>
      </text>
    </comment>
    <comment authorId="0" ref="P148">
      <text>
        <t xml:space="preserve">MAX(0; total pactado − pagado a esta cuota). Incluye capital, interés y cargos pendientes de ESA cuota.</t>
      </text>
    </comment>
    <comment authorId="0" ref="Q148">
      <text>
        <t xml:space="preserve">Días desde vencimiento hasta corte, solo si venció antes del corte y sigue con saldo.</t>
      </text>
    </comment>
    <comment authorId="0" ref="R148">
      <text>
        <t xml:space="preserve">MAX(0; pagado − cuota pactada). Exceso para revisar: no se traspasa a otra cuota.</t>
      </text>
    </comment>
    <comment authorId="0" ref="S148">
      <text>
        <t xml:space="preserve">Pagada, Vencida, Vence hoy, Por vencer o Exceso sin imputar según fecha y saldo al corte.</t>
      </text>
    </comment>
    <comment authorId="0" ref="T148">
      <text>
        <t xml:space="preserve">Auxiliar para encontrar la primera cuota pendiente. El 999999 indica que esta cuota no tiene saldo pendiente o está fuera del plazo, y no es una fecha real.</t>
      </text>
    </comment>
    <comment authorId="0" ref="C149">
      <text>
        <t xml:space="preserve">Crédito al que corresponde esta cuota.</t>
      </text>
    </comment>
    <comment authorId="0" ref="D149">
      <text>
        <t xml:space="preserve">Número de cuota dentro del crédito.</t>
      </text>
    </comment>
    <comment authorId="0" ref="E149">
      <text>
        <t xml:space="preserve">Fecha según EDATE a partir del primer vencimiento. No ajusta automáticamente feriados.</t>
      </text>
    </comment>
    <comment authorId="0" ref="F149">
      <text>
        <t xml:space="preserve">Capital al inicio del período en el calendario ORIGINAL, sin recalcular por pagos reales.</t>
      </text>
    </comment>
    <comment authorId="0" ref="G149">
      <text>
        <t xml:space="preserve">Tasa efectiva del mes según la base ingresada.</t>
      </text>
    </comment>
    <comment authorId="0" ref="H149">
      <text>
        <t xml:space="preserve">Interés del período = capital inicial × tasa mensual, redondeado a dos decimales.</t>
      </text>
    </comment>
    <comment authorId="0" ref="I149">
      <text>
        <t xml:space="preserve">Capital e interés pactados. La última cuota ajusta el saldo por redondeo.</t>
      </text>
    </comment>
    <comment authorId="0" ref="J149">
      <text>
        <t xml:space="preserve">Capital amortizado TEÓRICO = cuota base − interés, limitado al saldo.</t>
      </text>
    </comment>
    <comment authorId="0" ref="K149">
      <text>
        <t xml:space="preserve">Seguro y otros cargos fijos del mes.</t>
      </text>
    </comment>
    <comment authorId="0" ref="L149">
      <text>
        <t xml:space="preserve">Cuota base + cargos.</t>
      </text>
    </comment>
    <comment authorId="0" ref="M149">
      <text>
        <t xml:space="preserve">Capital final del calendario teórico. No equivale al saldo real si hay pagos parciales o atrasos.</t>
      </text>
    </comment>
    <comment authorId="0" ref="N149">
      <text>
        <t xml:space="preserve">Suma de pagos válidos del mismo ID y cuota con fecha igual o anterior al corte.</t>
      </text>
    </comment>
    <comment authorId="0" ref="O149">
      <text>
        <t xml:space="preserve">MIN(amortización pactada; MAX(0; pagado − cargos − interés)). No imputa excedentes a otras cuotas.</t>
      </text>
    </comment>
    <comment authorId="0" ref="P149">
      <text>
        <t xml:space="preserve">MAX(0; total pactado − pagado a esta cuota). Incluye capital, interés y cargos pendientes de ESA cuota.</t>
      </text>
    </comment>
    <comment authorId="0" ref="Q149">
      <text>
        <t xml:space="preserve">Días desde vencimiento hasta corte, solo si venció antes del corte y sigue con saldo.</t>
      </text>
    </comment>
    <comment authorId="0" ref="R149">
      <text>
        <t xml:space="preserve">MAX(0; pagado − cuota pactada). Exceso para revisar: no se traspasa a otra cuota.</t>
      </text>
    </comment>
    <comment authorId="0" ref="S149">
      <text>
        <t xml:space="preserve">Pagada, Vencida, Vence hoy, Por vencer o Exceso sin imputar según fecha y saldo al corte.</t>
      </text>
    </comment>
    <comment authorId="0" ref="T149">
      <text>
        <t xml:space="preserve">Auxiliar para encontrar la primera cuota pendiente. El 999999 indica que esta cuota no tiene saldo pendiente o está fuera del plazo, y no es una fecha real.</t>
      </text>
    </comment>
    <comment authorId="0" ref="C150">
      <text>
        <t xml:space="preserve">Crédito al que corresponde esta cuota.</t>
      </text>
    </comment>
    <comment authorId="0" ref="D150">
      <text>
        <t xml:space="preserve">Número de cuota dentro del crédito.</t>
      </text>
    </comment>
    <comment authorId="0" ref="E150">
      <text>
        <t xml:space="preserve">Fecha según EDATE a partir del primer vencimiento. No ajusta automáticamente feriados.</t>
      </text>
    </comment>
    <comment authorId="0" ref="F150">
      <text>
        <t xml:space="preserve">Capital al inicio del período en el calendario ORIGINAL, sin recalcular por pagos reales.</t>
      </text>
    </comment>
    <comment authorId="0" ref="G150">
      <text>
        <t xml:space="preserve">Tasa efectiva del mes según la base ingresada.</t>
      </text>
    </comment>
    <comment authorId="0" ref="H150">
      <text>
        <t xml:space="preserve">Interés del período = capital inicial × tasa mensual, redondeado a dos decimales.</t>
      </text>
    </comment>
    <comment authorId="0" ref="I150">
      <text>
        <t xml:space="preserve">Capital e interés pactados. La última cuota ajusta el saldo por redondeo.</t>
      </text>
    </comment>
    <comment authorId="0" ref="J150">
      <text>
        <t xml:space="preserve">Capital amortizado TEÓRICO = cuota base − interés, limitado al saldo.</t>
      </text>
    </comment>
    <comment authorId="0" ref="K150">
      <text>
        <t xml:space="preserve">Seguro y otros cargos fijos del mes.</t>
      </text>
    </comment>
    <comment authorId="0" ref="L150">
      <text>
        <t xml:space="preserve">Cuota base + cargos.</t>
      </text>
    </comment>
    <comment authorId="0" ref="M150">
      <text>
        <t xml:space="preserve">Capital final del calendario teórico. No equivale al saldo real si hay pagos parciales o atrasos.</t>
      </text>
    </comment>
    <comment authorId="0" ref="N150">
      <text>
        <t xml:space="preserve">Suma de pagos válidos del mismo ID y cuota con fecha igual o anterior al corte.</t>
      </text>
    </comment>
    <comment authorId="0" ref="O150">
      <text>
        <t xml:space="preserve">MIN(amortización pactada; MAX(0; pagado − cargos − interés)). No imputa excedentes a otras cuotas.</t>
      </text>
    </comment>
    <comment authorId="0" ref="P150">
      <text>
        <t xml:space="preserve">MAX(0; total pactado − pagado a esta cuota). Incluye capital, interés y cargos pendientes de ESA cuota.</t>
      </text>
    </comment>
    <comment authorId="0" ref="Q150">
      <text>
        <t xml:space="preserve">Días desde vencimiento hasta corte, solo si venció antes del corte y sigue con saldo.</t>
      </text>
    </comment>
    <comment authorId="0" ref="R150">
      <text>
        <t xml:space="preserve">MAX(0; pagado − cuota pactada). Exceso para revisar: no se traspasa a otra cuota.</t>
      </text>
    </comment>
    <comment authorId="0" ref="S150">
      <text>
        <t xml:space="preserve">Pagada, Vencida, Vence hoy, Por vencer o Exceso sin imputar según fecha y saldo al corte.</t>
      </text>
    </comment>
    <comment authorId="0" ref="T150">
      <text>
        <t xml:space="preserve">Auxiliar para encontrar la primera cuota pendiente. El 999999 indica que esta cuota no tiene saldo pendiente o está fuera del plazo, y no es una fecha real.</t>
      </text>
    </comment>
    <comment authorId="0" ref="C151">
      <text>
        <t xml:space="preserve">Crédito al que corresponde esta cuota.</t>
      </text>
    </comment>
    <comment authorId="0" ref="D151">
      <text>
        <t xml:space="preserve">Número de cuota dentro del crédito.</t>
      </text>
    </comment>
    <comment authorId="0" ref="E151">
      <text>
        <t xml:space="preserve">Fecha según EDATE a partir del primer vencimiento. No ajusta automáticamente feriados.</t>
      </text>
    </comment>
    <comment authorId="0" ref="F151">
      <text>
        <t xml:space="preserve">Capital al inicio del período en el calendario ORIGINAL, sin recalcular por pagos reales.</t>
      </text>
    </comment>
    <comment authorId="0" ref="G151">
      <text>
        <t xml:space="preserve">Tasa efectiva del mes según la base ingresada.</t>
      </text>
    </comment>
    <comment authorId="0" ref="H151">
      <text>
        <t xml:space="preserve">Interés del período = capital inicial × tasa mensual, redondeado a dos decimales.</t>
      </text>
    </comment>
    <comment authorId="0" ref="I151">
      <text>
        <t xml:space="preserve">Capital e interés pactados. La última cuota ajusta el saldo por redondeo.</t>
      </text>
    </comment>
    <comment authorId="0" ref="J151">
      <text>
        <t xml:space="preserve">Capital amortizado TEÓRICO = cuota base − interés, limitado al saldo.</t>
      </text>
    </comment>
    <comment authorId="0" ref="K151">
      <text>
        <t xml:space="preserve">Seguro y otros cargos fijos del mes.</t>
      </text>
    </comment>
    <comment authorId="0" ref="L151">
      <text>
        <t xml:space="preserve">Cuota base + cargos.</t>
      </text>
    </comment>
    <comment authorId="0" ref="M151">
      <text>
        <t xml:space="preserve">Capital final del calendario teórico. No equivale al saldo real si hay pagos parciales o atrasos.</t>
      </text>
    </comment>
    <comment authorId="0" ref="N151">
      <text>
        <t xml:space="preserve">Suma de pagos válidos del mismo ID y cuota con fecha igual o anterior al corte.</t>
      </text>
    </comment>
    <comment authorId="0" ref="O151">
      <text>
        <t xml:space="preserve">MIN(amortización pactada; MAX(0; pagado − cargos − interés)). No imputa excedentes a otras cuotas.</t>
      </text>
    </comment>
    <comment authorId="0" ref="P151">
      <text>
        <t xml:space="preserve">MAX(0; total pactado − pagado a esta cuota). Incluye capital, interés y cargos pendientes de ESA cuota.</t>
      </text>
    </comment>
    <comment authorId="0" ref="Q151">
      <text>
        <t xml:space="preserve">Días desde vencimiento hasta corte, solo si venció antes del corte y sigue con saldo.</t>
      </text>
    </comment>
    <comment authorId="0" ref="R151">
      <text>
        <t xml:space="preserve">MAX(0; pagado − cuota pactada). Exceso para revisar: no se traspasa a otra cuota.</t>
      </text>
    </comment>
    <comment authorId="0" ref="S151">
      <text>
        <t xml:space="preserve">Pagada, Vencida, Vence hoy, Por vencer o Exceso sin imputar según fecha y saldo al corte.</t>
      </text>
    </comment>
    <comment authorId="0" ref="T151">
      <text>
        <t xml:space="preserve">Auxiliar para encontrar la primera cuota pendiente. El 999999 indica que esta cuota no tiene saldo pendiente o está fuera del plazo, y no es una fecha real.</t>
      </text>
    </comment>
    <comment authorId="0" ref="C152">
      <text>
        <t xml:space="preserve">Crédito al que corresponde esta cuota.</t>
      </text>
    </comment>
    <comment authorId="0" ref="D152">
      <text>
        <t xml:space="preserve">Número de cuota dentro del crédito.</t>
      </text>
    </comment>
    <comment authorId="0" ref="E152">
      <text>
        <t xml:space="preserve">Fecha según EDATE a partir del primer vencimiento. No ajusta automáticamente feriados.</t>
      </text>
    </comment>
    <comment authorId="0" ref="F152">
      <text>
        <t xml:space="preserve">Capital al inicio del período en el calendario ORIGINAL, sin recalcular por pagos reales.</t>
      </text>
    </comment>
    <comment authorId="0" ref="G152">
      <text>
        <t xml:space="preserve">Tasa efectiva del mes según la base ingresada.</t>
      </text>
    </comment>
    <comment authorId="0" ref="H152">
      <text>
        <t xml:space="preserve">Interés del período = capital inicial × tasa mensual, redondeado a dos decimales.</t>
      </text>
    </comment>
    <comment authorId="0" ref="I152">
      <text>
        <t xml:space="preserve">Capital e interés pactados. La última cuota ajusta el saldo por redondeo.</t>
      </text>
    </comment>
    <comment authorId="0" ref="J152">
      <text>
        <t xml:space="preserve">Capital amortizado TEÓRICO = cuota base − interés, limitado al saldo.</t>
      </text>
    </comment>
    <comment authorId="0" ref="K152">
      <text>
        <t xml:space="preserve">Seguro y otros cargos fijos del mes.</t>
      </text>
    </comment>
    <comment authorId="0" ref="L152">
      <text>
        <t xml:space="preserve">Cuota base + cargos.</t>
      </text>
    </comment>
    <comment authorId="0" ref="M152">
      <text>
        <t xml:space="preserve">Capital final del calendario teórico. No equivale al saldo real si hay pagos parciales o atrasos.</t>
      </text>
    </comment>
    <comment authorId="0" ref="N152">
      <text>
        <t xml:space="preserve">Suma de pagos válidos del mismo ID y cuota con fecha igual o anterior al corte.</t>
      </text>
    </comment>
    <comment authorId="0" ref="O152">
      <text>
        <t xml:space="preserve">MIN(amortización pactada; MAX(0; pagado − cargos − interés)). No imputa excedentes a otras cuotas.</t>
      </text>
    </comment>
    <comment authorId="0" ref="P152">
      <text>
        <t xml:space="preserve">MAX(0; total pactado − pagado a esta cuota). Incluye capital, interés y cargos pendientes de ESA cuota.</t>
      </text>
    </comment>
    <comment authorId="0" ref="Q152">
      <text>
        <t xml:space="preserve">Días desde vencimiento hasta corte, solo si venció antes del corte y sigue con saldo.</t>
      </text>
    </comment>
    <comment authorId="0" ref="R152">
      <text>
        <t xml:space="preserve">MAX(0; pagado − cuota pactada). Exceso para revisar: no se traspasa a otra cuota.</t>
      </text>
    </comment>
    <comment authorId="0" ref="S152">
      <text>
        <t xml:space="preserve">Pagada, Vencida, Vence hoy, Por vencer o Exceso sin imputar según fecha y saldo al corte.</t>
      </text>
    </comment>
    <comment authorId="0" ref="T152">
      <text>
        <t xml:space="preserve">Auxiliar para encontrar la primera cuota pendiente. El 999999 indica que esta cuota no tiene saldo pendiente o está fuera del plazo, y no es una fecha real.</t>
      </text>
    </comment>
    <comment authorId="0" ref="C153">
      <text>
        <t xml:space="preserve">Crédito al que corresponde esta cuota.</t>
      </text>
    </comment>
    <comment authorId="0" ref="D153">
      <text>
        <t xml:space="preserve">Número de cuota dentro del crédito.</t>
      </text>
    </comment>
    <comment authorId="0" ref="E153">
      <text>
        <t xml:space="preserve">Fecha según EDATE a partir del primer vencimiento. No ajusta automáticamente feriados.</t>
      </text>
    </comment>
    <comment authorId="0" ref="F153">
      <text>
        <t xml:space="preserve">Capital al inicio del período en el calendario ORIGINAL, sin recalcular por pagos reales.</t>
      </text>
    </comment>
    <comment authorId="0" ref="G153">
      <text>
        <t xml:space="preserve">Tasa efectiva del mes según la base ingresada.</t>
      </text>
    </comment>
    <comment authorId="0" ref="H153">
      <text>
        <t xml:space="preserve">Interés del período = capital inicial × tasa mensual, redondeado a dos decimales.</t>
      </text>
    </comment>
    <comment authorId="0" ref="I153">
      <text>
        <t xml:space="preserve">Capital e interés pactados. La última cuota ajusta el saldo por redondeo.</t>
      </text>
    </comment>
    <comment authorId="0" ref="J153">
      <text>
        <t xml:space="preserve">Capital amortizado TEÓRICO = cuota base − interés, limitado al saldo.</t>
      </text>
    </comment>
    <comment authorId="0" ref="K153">
      <text>
        <t xml:space="preserve">Seguro y otros cargos fijos del mes.</t>
      </text>
    </comment>
    <comment authorId="0" ref="L153">
      <text>
        <t xml:space="preserve">Cuota base + cargos.</t>
      </text>
    </comment>
    <comment authorId="0" ref="M153">
      <text>
        <t xml:space="preserve">Capital final del calendario teórico. No equivale al saldo real si hay pagos parciales o atrasos.</t>
      </text>
    </comment>
    <comment authorId="0" ref="N153">
      <text>
        <t xml:space="preserve">Suma de pagos válidos del mismo ID y cuota con fecha igual o anterior al corte.</t>
      </text>
    </comment>
    <comment authorId="0" ref="O153">
      <text>
        <t xml:space="preserve">MIN(amortización pactada; MAX(0; pagado − cargos − interés)). No imputa excedentes a otras cuotas.</t>
      </text>
    </comment>
    <comment authorId="0" ref="P153">
      <text>
        <t xml:space="preserve">MAX(0; total pactado − pagado a esta cuota). Incluye capital, interés y cargos pendientes de ESA cuota.</t>
      </text>
    </comment>
    <comment authorId="0" ref="Q153">
      <text>
        <t xml:space="preserve">Días desde vencimiento hasta corte, solo si venció antes del corte y sigue con saldo.</t>
      </text>
    </comment>
    <comment authorId="0" ref="R153">
      <text>
        <t xml:space="preserve">MAX(0; pagado − cuota pactada). Exceso para revisar: no se traspasa a otra cuota.</t>
      </text>
    </comment>
    <comment authorId="0" ref="S153">
      <text>
        <t xml:space="preserve">Pagada, Vencida, Vence hoy, Por vencer o Exceso sin imputar según fecha y saldo al corte.</t>
      </text>
    </comment>
    <comment authorId="0" ref="T153">
      <text>
        <t xml:space="preserve">Auxiliar para encontrar la primera cuota pendiente. El 999999 indica que esta cuota no tiene saldo pendiente o está fuera del plazo, y no es una fecha real.</t>
      </text>
    </comment>
    <comment authorId="0" ref="C154">
      <text>
        <t xml:space="preserve">Crédito al que corresponde esta cuota.</t>
      </text>
    </comment>
    <comment authorId="0" ref="D154">
      <text>
        <t xml:space="preserve">Número de cuota dentro del crédito.</t>
      </text>
    </comment>
    <comment authorId="0" ref="E154">
      <text>
        <t xml:space="preserve">Fecha según EDATE a partir del primer vencimiento. No ajusta automáticamente feriados.</t>
      </text>
    </comment>
    <comment authorId="0" ref="F154">
      <text>
        <t xml:space="preserve">Capital al inicio del período en el calendario ORIGINAL, sin recalcular por pagos reales.</t>
      </text>
    </comment>
    <comment authorId="0" ref="G154">
      <text>
        <t xml:space="preserve">Tasa efectiva del mes según la base ingresada.</t>
      </text>
    </comment>
    <comment authorId="0" ref="H154">
      <text>
        <t xml:space="preserve">Interés del período = capital inicial × tasa mensual, redondeado a dos decimales.</t>
      </text>
    </comment>
    <comment authorId="0" ref="I154">
      <text>
        <t xml:space="preserve">Capital e interés pactados. La última cuota ajusta el saldo por redondeo.</t>
      </text>
    </comment>
    <comment authorId="0" ref="J154">
      <text>
        <t xml:space="preserve">Capital amortizado TEÓRICO = cuota base − interés, limitado al saldo.</t>
      </text>
    </comment>
    <comment authorId="0" ref="K154">
      <text>
        <t xml:space="preserve">Seguro y otros cargos fijos del mes.</t>
      </text>
    </comment>
    <comment authorId="0" ref="L154">
      <text>
        <t xml:space="preserve">Cuota base + cargos.</t>
      </text>
    </comment>
    <comment authorId="0" ref="M154">
      <text>
        <t xml:space="preserve">Capital final del calendario teórico. No equivale al saldo real si hay pagos parciales o atrasos.</t>
      </text>
    </comment>
    <comment authorId="0" ref="N154">
      <text>
        <t xml:space="preserve">Suma de pagos válidos del mismo ID y cuota con fecha igual o anterior al corte.</t>
      </text>
    </comment>
    <comment authorId="0" ref="O154">
      <text>
        <t xml:space="preserve">MIN(amortización pactada; MAX(0; pagado − cargos − interés)). No imputa excedentes a otras cuotas.</t>
      </text>
    </comment>
    <comment authorId="0" ref="P154">
      <text>
        <t xml:space="preserve">MAX(0; total pactado − pagado a esta cuota). Incluye capital, interés y cargos pendientes de ESA cuota.</t>
      </text>
    </comment>
    <comment authorId="0" ref="Q154">
      <text>
        <t xml:space="preserve">Días desde vencimiento hasta corte, solo si venció antes del corte y sigue con saldo.</t>
      </text>
    </comment>
    <comment authorId="0" ref="R154">
      <text>
        <t xml:space="preserve">MAX(0; pagado − cuota pactada). Exceso para revisar: no se traspasa a otra cuota.</t>
      </text>
    </comment>
    <comment authorId="0" ref="S154">
      <text>
        <t xml:space="preserve">Pagada, Vencida, Vence hoy, Por vencer o Exceso sin imputar según fecha y saldo al corte.</t>
      </text>
    </comment>
    <comment authorId="0" ref="T154">
      <text>
        <t xml:space="preserve">Auxiliar para encontrar la primera cuota pendiente. El 999999 indica que esta cuota no tiene saldo pendiente o está fuera del plazo, y no es una fecha real.</t>
      </text>
    </comment>
    <comment authorId="0" ref="C155">
      <text>
        <t xml:space="preserve">Crédito al que corresponde esta cuota.</t>
      </text>
    </comment>
    <comment authorId="0" ref="D155">
      <text>
        <t xml:space="preserve">Número de cuota dentro del crédito.</t>
      </text>
    </comment>
    <comment authorId="0" ref="E155">
      <text>
        <t xml:space="preserve">Fecha según EDATE a partir del primer vencimiento. No ajusta automáticamente feriados.</t>
      </text>
    </comment>
    <comment authorId="0" ref="F155">
      <text>
        <t xml:space="preserve">Capital al inicio del período en el calendario ORIGINAL, sin recalcular por pagos reales.</t>
      </text>
    </comment>
    <comment authorId="0" ref="G155">
      <text>
        <t xml:space="preserve">Tasa efectiva del mes según la base ingresada.</t>
      </text>
    </comment>
    <comment authorId="0" ref="H155">
      <text>
        <t xml:space="preserve">Interés del período = capital inicial × tasa mensual, redondeado a dos decimales.</t>
      </text>
    </comment>
    <comment authorId="0" ref="I155">
      <text>
        <t xml:space="preserve">Capital e interés pactados. La última cuota ajusta el saldo por redondeo.</t>
      </text>
    </comment>
    <comment authorId="0" ref="J155">
      <text>
        <t xml:space="preserve">Capital amortizado TEÓRICO = cuota base − interés, limitado al saldo.</t>
      </text>
    </comment>
    <comment authorId="0" ref="K155">
      <text>
        <t xml:space="preserve">Seguro y otros cargos fijos del mes.</t>
      </text>
    </comment>
    <comment authorId="0" ref="L155">
      <text>
        <t xml:space="preserve">Cuota base + cargos.</t>
      </text>
    </comment>
    <comment authorId="0" ref="M155">
      <text>
        <t xml:space="preserve">Capital final del calendario teórico. No equivale al saldo real si hay pagos parciales o atrasos.</t>
      </text>
    </comment>
    <comment authorId="0" ref="N155">
      <text>
        <t xml:space="preserve">Suma de pagos válidos del mismo ID y cuota con fecha igual o anterior al corte.</t>
      </text>
    </comment>
    <comment authorId="0" ref="O155">
      <text>
        <t xml:space="preserve">MIN(amortización pactada; MAX(0; pagado − cargos − interés)). No imputa excedentes a otras cuotas.</t>
      </text>
    </comment>
    <comment authorId="0" ref="P155">
      <text>
        <t xml:space="preserve">MAX(0; total pactado − pagado a esta cuota). Incluye capital, interés y cargos pendientes de ESA cuota.</t>
      </text>
    </comment>
    <comment authorId="0" ref="Q155">
      <text>
        <t xml:space="preserve">Días desde vencimiento hasta corte, solo si venció antes del corte y sigue con saldo.</t>
      </text>
    </comment>
    <comment authorId="0" ref="R155">
      <text>
        <t xml:space="preserve">MAX(0; pagado − cuota pactada). Exceso para revisar: no se traspasa a otra cuota.</t>
      </text>
    </comment>
    <comment authorId="0" ref="S155">
      <text>
        <t xml:space="preserve">Pagada, Vencida, Vence hoy, Por vencer o Exceso sin imputar según fecha y saldo al corte.</t>
      </text>
    </comment>
    <comment authorId="0" ref="T155">
      <text>
        <t xml:space="preserve">Auxiliar para encontrar la primera cuota pendiente. El 999999 indica que esta cuota no tiene saldo pendiente o está fuera del plazo, y no es una fecha real.</t>
      </text>
    </comment>
    <comment authorId="0" ref="C156">
      <text>
        <t xml:space="preserve">Crédito al que corresponde esta cuota.</t>
      </text>
    </comment>
    <comment authorId="0" ref="D156">
      <text>
        <t xml:space="preserve">Número de cuota dentro del crédito.</t>
      </text>
    </comment>
    <comment authorId="0" ref="E156">
      <text>
        <t xml:space="preserve">Fecha según EDATE a partir del primer vencimiento. No ajusta automáticamente feriados.</t>
      </text>
    </comment>
    <comment authorId="0" ref="F156">
      <text>
        <t xml:space="preserve">Capital al inicio del período en el calendario ORIGINAL, sin recalcular por pagos reales.</t>
      </text>
    </comment>
    <comment authorId="0" ref="G156">
      <text>
        <t xml:space="preserve">Tasa efectiva del mes según la base ingresada.</t>
      </text>
    </comment>
    <comment authorId="0" ref="H156">
      <text>
        <t xml:space="preserve">Interés del período = capital inicial × tasa mensual, redondeado a dos decimales.</t>
      </text>
    </comment>
    <comment authorId="0" ref="I156">
      <text>
        <t xml:space="preserve">Capital e interés pactados. La última cuota ajusta el saldo por redondeo.</t>
      </text>
    </comment>
    <comment authorId="0" ref="J156">
      <text>
        <t xml:space="preserve">Capital amortizado TEÓRICO = cuota base − interés, limitado al saldo.</t>
      </text>
    </comment>
    <comment authorId="0" ref="K156">
      <text>
        <t xml:space="preserve">Seguro y otros cargos fijos del mes.</t>
      </text>
    </comment>
    <comment authorId="0" ref="L156">
      <text>
        <t xml:space="preserve">Cuota base + cargos.</t>
      </text>
    </comment>
    <comment authorId="0" ref="M156">
      <text>
        <t xml:space="preserve">Capital final del calendario teórico. No equivale al saldo real si hay pagos parciales o atrasos.</t>
      </text>
    </comment>
    <comment authorId="0" ref="N156">
      <text>
        <t xml:space="preserve">Suma de pagos válidos del mismo ID y cuota con fecha igual o anterior al corte.</t>
      </text>
    </comment>
    <comment authorId="0" ref="O156">
      <text>
        <t xml:space="preserve">MIN(amortización pactada; MAX(0; pagado − cargos − interés)). No imputa excedentes a otras cuotas.</t>
      </text>
    </comment>
    <comment authorId="0" ref="P156">
      <text>
        <t xml:space="preserve">MAX(0; total pactado − pagado a esta cuota). Incluye capital, interés y cargos pendientes de ESA cuota.</t>
      </text>
    </comment>
    <comment authorId="0" ref="Q156">
      <text>
        <t xml:space="preserve">Días desde vencimiento hasta corte, solo si venció antes del corte y sigue con saldo.</t>
      </text>
    </comment>
    <comment authorId="0" ref="R156">
      <text>
        <t xml:space="preserve">MAX(0; pagado − cuota pactada). Exceso para revisar: no se traspasa a otra cuota.</t>
      </text>
    </comment>
    <comment authorId="0" ref="S156">
      <text>
        <t xml:space="preserve">Pagada, Vencida, Vence hoy, Por vencer o Exceso sin imputar según fecha y saldo al corte.</t>
      </text>
    </comment>
    <comment authorId="0" ref="T156">
      <text>
        <t xml:space="preserve">Auxiliar para encontrar la primera cuota pendiente. El 999999 indica que esta cuota no tiene saldo pendiente o está fuera del plazo, y no es una fecha real.</t>
      </text>
    </comment>
    <comment authorId="0" ref="C157">
      <text>
        <t xml:space="preserve">Crédito al que corresponde esta cuota.</t>
      </text>
    </comment>
    <comment authorId="0" ref="D157">
      <text>
        <t xml:space="preserve">Número de cuota dentro del crédito.</t>
      </text>
    </comment>
    <comment authorId="0" ref="E157">
      <text>
        <t xml:space="preserve">Fecha según EDATE a partir del primer vencimiento. No ajusta automáticamente feriados.</t>
      </text>
    </comment>
    <comment authorId="0" ref="F157">
      <text>
        <t xml:space="preserve">Capital al inicio del período en el calendario ORIGINAL, sin recalcular por pagos reales.</t>
      </text>
    </comment>
    <comment authorId="0" ref="G157">
      <text>
        <t xml:space="preserve">Tasa efectiva del mes según la base ingresada.</t>
      </text>
    </comment>
    <comment authorId="0" ref="H157">
      <text>
        <t xml:space="preserve">Interés del período = capital inicial × tasa mensual, redondeado a dos decimales.</t>
      </text>
    </comment>
    <comment authorId="0" ref="I157">
      <text>
        <t xml:space="preserve">Capital e interés pactados. La última cuota ajusta el saldo por redondeo.</t>
      </text>
    </comment>
    <comment authorId="0" ref="J157">
      <text>
        <t xml:space="preserve">Capital amortizado TEÓRICO = cuota base − interés, limitado al saldo.</t>
      </text>
    </comment>
    <comment authorId="0" ref="K157">
      <text>
        <t xml:space="preserve">Seguro y otros cargos fijos del mes.</t>
      </text>
    </comment>
    <comment authorId="0" ref="L157">
      <text>
        <t xml:space="preserve">Cuota base + cargos.</t>
      </text>
    </comment>
    <comment authorId="0" ref="M157">
      <text>
        <t xml:space="preserve">Capital final del calendario teórico. No equivale al saldo real si hay pagos parciales o atrasos.</t>
      </text>
    </comment>
    <comment authorId="0" ref="N157">
      <text>
        <t xml:space="preserve">Suma de pagos válidos del mismo ID y cuota con fecha igual o anterior al corte.</t>
      </text>
    </comment>
    <comment authorId="0" ref="O157">
      <text>
        <t xml:space="preserve">MIN(amortización pactada; MAX(0; pagado − cargos − interés)). No imputa excedentes a otras cuotas.</t>
      </text>
    </comment>
    <comment authorId="0" ref="P157">
      <text>
        <t xml:space="preserve">MAX(0; total pactado − pagado a esta cuota). Incluye capital, interés y cargos pendientes de ESA cuota.</t>
      </text>
    </comment>
    <comment authorId="0" ref="Q157">
      <text>
        <t xml:space="preserve">Días desde vencimiento hasta corte, solo si venció antes del corte y sigue con saldo.</t>
      </text>
    </comment>
    <comment authorId="0" ref="R157">
      <text>
        <t xml:space="preserve">MAX(0; pagado − cuota pactada). Exceso para revisar: no se traspasa a otra cuota.</t>
      </text>
    </comment>
    <comment authorId="0" ref="S157">
      <text>
        <t xml:space="preserve">Pagada, Vencida, Vence hoy, Por vencer o Exceso sin imputar según fecha y saldo al corte.</t>
      </text>
    </comment>
    <comment authorId="0" ref="T157">
      <text>
        <t xml:space="preserve">Auxiliar para encontrar la primera cuota pendiente. El 999999 indica que esta cuota no tiene saldo pendiente o está fuera del plazo, y no es una fecha real.</t>
      </text>
    </comment>
    <comment authorId="0" ref="C158">
      <text>
        <t xml:space="preserve">Crédito al que corresponde esta cuota.</t>
      </text>
    </comment>
    <comment authorId="0" ref="D158">
      <text>
        <t xml:space="preserve">Número de cuota dentro del crédito.</t>
      </text>
    </comment>
    <comment authorId="0" ref="E158">
      <text>
        <t xml:space="preserve">Fecha según EDATE a partir del primer vencimiento. No ajusta automáticamente feriados.</t>
      </text>
    </comment>
    <comment authorId="0" ref="F158">
      <text>
        <t xml:space="preserve">Capital al inicio del período en el calendario ORIGINAL, sin recalcular por pagos reales.</t>
      </text>
    </comment>
    <comment authorId="0" ref="G158">
      <text>
        <t xml:space="preserve">Tasa efectiva del mes según la base ingresada.</t>
      </text>
    </comment>
    <comment authorId="0" ref="H158">
      <text>
        <t xml:space="preserve">Interés del período = capital inicial × tasa mensual, redondeado a dos decimales.</t>
      </text>
    </comment>
    <comment authorId="0" ref="I158">
      <text>
        <t xml:space="preserve">Capital e interés pactados. La última cuota ajusta el saldo por redondeo.</t>
      </text>
    </comment>
    <comment authorId="0" ref="J158">
      <text>
        <t xml:space="preserve">Capital amortizado TEÓRICO = cuota base − interés, limitado al saldo.</t>
      </text>
    </comment>
    <comment authorId="0" ref="K158">
      <text>
        <t xml:space="preserve">Seguro y otros cargos fijos del mes.</t>
      </text>
    </comment>
    <comment authorId="0" ref="L158">
      <text>
        <t xml:space="preserve">Cuota base + cargos.</t>
      </text>
    </comment>
    <comment authorId="0" ref="M158">
      <text>
        <t xml:space="preserve">Capital final del calendario teórico. No equivale al saldo real si hay pagos parciales o atrasos.</t>
      </text>
    </comment>
    <comment authorId="0" ref="N158">
      <text>
        <t xml:space="preserve">Suma de pagos válidos del mismo ID y cuota con fecha igual o anterior al corte.</t>
      </text>
    </comment>
    <comment authorId="0" ref="O158">
      <text>
        <t xml:space="preserve">MIN(amortización pactada; MAX(0; pagado − cargos − interés)). No imputa excedentes a otras cuotas.</t>
      </text>
    </comment>
    <comment authorId="0" ref="P158">
      <text>
        <t xml:space="preserve">MAX(0; total pactado − pagado a esta cuota). Incluye capital, interés y cargos pendientes de ESA cuota.</t>
      </text>
    </comment>
    <comment authorId="0" ref="Q158">
      <text>
        <t xml:space="preserve">Días desde vencimiento hasta corte, solo si venció antes del corte y sigue con saldo.</t>
      </text>
    </comment>
    <comment authorId="0" ref="R158">
      <text>
        <t xml:space="preserve">MAX(0; pagado − cuota pactada). Exceso para revisar: no se traspasa a otra cuota.</t>
      </text>
    </comment>
    <comment authorId="0" ref="S158">
      <text>
        <t xml:space="preserve">Pagada, Vencida, Vence hoy, Por vencer o Exceso sin imputar según fecha y saldo al corte.</t>
      </text>
    </comment>
    <comment authorId="0" ref="T158">
      <text>
        <t xml:space="preserve">Auxiliar para encontrar la primera cuota pendiente. El 999999 indica que esta cuota no tiene saldo pendiente o está fuera del plazo, y no es una fecha real.</t>
      </text>
    </comment>
    <comment authorId="0" ref="C159">
      <text>
        <t xml:space="preserve">Crédito al que corresponde esta cuota.</t>
      </text>
    </comment>
    <comment authorId="0" ref="D159">
      <text>
        <t xml:space="preserve">Número de cuota dentro del crédito.</t>
      </text>
    </comment>
    <comment authorId="0" ref="E159">
      <text>
        <t xml:space="preserve">Fecha según EDATE a partir del primer vencimiento. No ajusta automáticamente feriados.</t>
      </text>
    </comment>
    <comment authorId="0" ref="F159">
      <text>
        <t xml:space="preserve">Capital al inicio del período en el calendario ORIGINAL, sin recalcular por pagos reales.</t>
      </text>
    </comment>
    <comment authorId="0" ref="G159">
      <text>
        <t xml:space="preserve">Tasa efectiva del mes según la base ingresada.</t>
      </text>
    </comment>
    <comment authorId="0" ref="H159">
      <text>
        <t xml:space="preserve">Interés del período = capital inicial × tasa mensual, redondeado a dos decimales.</t>
      </text>
    </comment>
    <comment authorId="0" ref="I159">
      <text>
        <t xml:space="preserve">Capital e interés pactados. La última cuota ajusta el saldo por redondeo.</t>
      </text>
    </comment>
    <comment authorId="0" ref="J159">
      <text>
        <t xml:space="preserve">Capital amortizado TEÓRICO = cuota base − interés, limitado al saldo.</t>
      </text>
    </comment>
    <comment authorId="0" ref="K159">
      <text>
        <t xml:space="preserve">Seguro y otros cargos fijos del mes.</t>
      </text>
    </comment>
    <comment authorId="0" ref="L159">
      <text>
        <t xml:space="preserve">Cuota base + cargos.</t>
      </text>
    </comment>
    <comment authorId="0" ref="M159">
      <text>
        <t xml:space="preserve">Capital final del calendario teórico. No equivale al saldo real si hay pagos parciales o atrasos.</t>
      </text>
    </comment>
    <comment authorId="0" ref="N159">
      <text>
        <t xml:space="preserve">Suma de pagos válidos del mismo ID y cuota con fecha igual o anterior al corte.</t>
      </text>
    </comment>
    <comment authorId="0" ref="O159">
      <text>
        <t xml:space="preserve">MIN(amortización pactada; MAX(0; pagado − cargos − interés)). No imputa excedentes a otras cuotas.</t>
      </text>
    </comment>
    <comment authorId="0" ref="P159">
      <text>
        <t xml:space="preserve">MAX(0; total pactado − pagado a esta cuota). Incluye capital, interés y cargos pendientes de ESA cuota.</t>
      </text>
    </comment>
    <comment authorId="0" ref="Q159">
      <text>
        <t xml:space="preserve">Días desde vencimiento hasta corte, solo si venció antes del corte y sigue con saldo.</t>
      </text>
    </comment>
    <comment authorId="0" ref="R159">
      <text>
        <t xml:space="preserve">MAX(0; pagado − cuota pactada). Exceso para revisar: no se traspasa a otra cuota.</t>
      </text>
    </comment>
    <comment authorId="0" ref="S159">
      <text>
        <t xml:space="preserve">Pagada, Vencida, Vence hoy, Por vencer o Exceso sin imputar según fecha y saldo al corte.</t>
      </text>
    </comment>
    <comment authorId="0" ref="T159">
      <text>
        <t xml:space="preserve">Auxiliar para encontrar la primera cuota pendiente. El 999999 indica que esta cuota no tiene saldo pendiente o está fuera del plazo, y no es una fecha real.</t>
      </text>
    </comment>
    <comment authorId="0" ref="C160">
      <text>
        <t xml:space="preserve">Crédito al que corresponde esta cuota.</t>
      </text>
    </comment>
    <comment authorId="0" ref="D160">
      <text>
        <t xml:space="preserve">Número de cuota dentro del crédito.</t>
      </text>
    </comment>
    <comment authorId="0" ref="E160">
      <text>
        <t xml:space="preserve">Fecha según EDATE a partir del primer vencimiento. No ajusta automáticamente feriados.</t>
      </text>
    </comment>
    <comment authorId="0" ref="F160">
      <text>
        <t xml:space="preserve">Capital al inicio del período en el calendario ORIGINAL, sin recalcular por pagos reales.</t>
      </text>
    </comment>
    <comment authorId="0" ref="G160">
      <text>
        <t xml:space="preserve">Tasa efectiva del mes según la base ingresada.</t>
      </text>
    </comment>
    <comment authorId="0" ref="H160">
      <text>
        <t xml:space="preserve">Interés del período = capital inicial × tasa mensual, redondeado a dos decimales.</t>
      </text>
    </comment>
    <comment authorId="0" ref="I160">
      <text>
        <t xml:space="preserve">Capital e interés pactados. La última cuota ajusta el saldo por redondeo.</t>
      </text>
    </comment>
    <comment authorId="0" ref="J160">
      <text>
        <t xml:space="preserve">Capital amortizado TEÓRICO = cuota base − interés, limitado al saldo.</t>
      </text>
    </comment>
    <comment authorId="0" ref="K160">
      <text>
        <t xml:space="preserve">Seguro y otros cargos fijos del mes.</t>
      </text>
    </comment>
    <comment authorId="0" ref="L160">
      <text>
        <t xml:space="preserve">Cuota base + cargos.</t>
      </text>
    </comment>
    <comment authorId="0" ref="M160">
      <text>
        <t xml:space="preserve">Capital final del calendario teórico. No equivale al saldo real si hay pagos parciales o atrasos.</t>
      </text>
    </comment>
    <comment authorId="0" ref="N160">
      <text>
        <t xml:space="preserve">Suma de pagos válidos del mismo ID y cuota con fecha igual o anterior al corte.</t>
      </text>
    </comment>
    <comment authorId="0" ref="O160">
      <text>
        <t xml:space="preserve">MIN(amortización pactada; MAX(0; pagado − cargos − interés)). No imputa excedentes a otras cuotas.</t>
      </text>
    </comment>
    <comment authorId="0" ref="P160">
      <text>
        <t xml:space="preserve">MAX(0; total pactado − pagado a esta cuota). Incluye capital, interés y cargos pendientes de ESA cuota.</t>
      </text>
    </comment>
    <comment authorId="0" ref="Q160">
      <text>
        <t xml:space="preserve">Días desde vencimiento hasta corte, solo si venció antes del corte y sigue con saldo.</t>
      </text>
    </comment>
    <comment authorId="0" ref="R160">
      <text>
        <t xml:space="preserve">MAX(0; pagado − cuota pactada). Exceso para revisar: no se traspasa a otra cuota.</t>
      </text>
    </comment>
    <comment authorId="0" ref="S160">
      <text>
        <t xml:space="preserve">Pagada, Vencida, Vence hoy, Por vencer o Exceso sin imputar según fecha y saldo al corte.</t>
      </text>
    </comment>
    <comment authorId="0" ref="T160">
      <text>
        <t xml:space="preserve">Auxiliar para encontrar la primera cuota pendiente. El 999999 indica que esta cuota no tiene saldo pendiente o está fuera del plazo, y no es una fecha real.</t>
      </text>
    </comment>
    <comment authorId="0" ref="C161">
      <text>
        <t xml:space="preserve">Crédito al que corresponde esta cuota.</t>
      </text>
    </comment>
    <comment authorId="0" ref="D161">
      <text>
        <t xml:space="preserve">Número de cuota dentro del crédito.</t>
      </text>
    </comment>
    <comment authorId="0" ref="E161">
      <text>
        <t xml:space="preserve">Fecha según EDATE a partir del primer vencimiento. No ajusta automáticamente feriados.</t>
      </text>
    </comment>
    <comment authorId="0" ref="F161">
      <text>
        <t xml:space="preserve">Capital al inicio del período en el calendario ORIGINAL, sin recalcular por pagos reales.</t>
      </text>
    </comment>
    <comment authorId="0" ref="G161">
      <text>
        <t xml:space="preserve">Tasa efectiva del mes según la base ingresada.</t>
      </text>
    </comment>
    <comment authorId="0" ref="H161">
      <text>
        <t xml:space="preserve">Interés del período = capital inicial × tasa mensual, redondeado a dos decimales.</t>
      </text>
    </comment>
    <comment authorId="0" ref="I161">
      <text>
        <t xml:space="preserve">Capital e interés pactados. La última cuota ajusta el saldo por redondeo.</t>
      </text>
    </comment>
    <comment authorId="0" ref="J161">
      <text>
        <t xml:space="preserve">Capital amortizado TEÓRICO = cuota base − interés, limitado al saldo.</t>
      </text>
    </comment>
    <comment authorId="0" ref="K161">
      <text>
        <t xml:space="preserve">Seguro y otros cargos fijos del mes.</t>
      </text>
    </comment>
    <comment authorId="0" ref="L161">
      <text>
        <t xml:space="preserve">Cuota base + cargos.</t>
      </text>
    </comment>
    <comment authorId="0" ref="M161">
      <text>
        <t xml:space="preserve">Capital final del calendario teórico. No equivale al saldo real si hay pagos parciales o atrasos.</t>
      </text>
    </comment>
    <comment authorId="0" ref="N161">
      <text>
        <t xml:space="preserve">Suma de pagos válidos del mismo ID y cuota con fecha igual o anterior al corte.</t>
      </text>
    </comment>
    <comment authorId="0" ref="O161">
      <text>
        <t xml:space="preserve">MIN(amortización pactada; MAX(0; pagado − cargos − interés)). No imputa excedentes a otras cuotas.</t>
      </text>
    </comment>
    <comment authorId="0" ref="P161">
      <text>
        <t xml:space="preserve">MAX(0; total pactado − pagado a esta cuota). Incluye capital, interés y cargos pendientes de ESA cuota.</t>
      </text>
    </comment>
    <comment authorId="0" ref="Q161">
      <text>
        <t xml:space="preserve">Días desde vencimiento hasta corte, solo si venció antes del corte y sigue con saldo.</t>
      </text>
    </comment>
    <comment authorId="0" ref="R161">
      <text>
        <t xml:space="preserve">MAX(0; pagado − cuota pactada). Exceso para revisar: no se traspasa a otra cuota.</t>
      </text>
    </comment>
    <comment authorId="0" ref="S161">
      <text>
        <t xml:space="preserve">Pagada, Vencida, Vence hoy, Por vencer o Exceso sin imputar según fecha y saldo al corte.</t>
      </text>
    </comment>
    <comment authorId="0" ref="T161">
      <text>
        <t xml:space="preserve">Auxiliar para encontrar la primera cuota pendiente. El 999999 indica que esta cuota no tiene saldo pendiente o está fuera del plazo, y no es una fecha real.</t>
      </text>
    </comment>
    <comment authorId="0" ref="C162">
      <text>
        <t xml:space="preserve">Crédito al que corresponde esta cuota.</t>
      </text>
    </comment>
    <comment authorId="0" ref="D162">
      <text>
        <t xml:space="preserve">Número de cuota dentro del crédito.</t>
      </text>
    </comment>
    <comment authorId="0" ref="E162">
      <text>
        <t xml:space="preserve">Fecha según EDATE a partir del primer vencimiento. No ajusta automáticamente feriados.</t>
      </text>
    </comment>
    <comment authorId="0" ref="F162">
      <text>
        <t xml:space="preserve">Capital al inicio del período en el calendario ORIGINAL, sin recalcular por pagos reales.</t>
      </text>
    </comment>
    <comment authorId="0" ref="G162">
      <text>
        <t xml:space="preserve">Tasa efectiva del mes según la base ingresada.</t>
      </text>
    </comment>
    <comment authorId="0" ref="H162">
      <text>
        <t xml:space="preserve">Interés del período = capital inicial × tasa mensual, redondeado a dos decimales.</t>
      </text>
    </comment>
    <comment authorId="0" ref="I162">
      <text>
        <t xml:space="preserve">Capital e interés pactados. La última cuota ajusta el saldo por redondeo.</t>
      </text>
    </comment>
    <comment authorId="0" ref="J162">
      <text>
        <t xml:space="preserve">Capital amortizado TEÓRICO = cuota base − interés, limitado al saldo.</t>
      </text>
    </comment>
    <comment authorId="0" ref="K162">
      <text>
        <t xml:space="preserve">Seguro y otros cargos fijos del mes.</t>
      </text>
    </comment>
    <comment authorId="0" ref="L162">
      <text>
        <t xml:space="preserve">Cuota base + cargos.</t>
      </text>
    </comment>
    <comment authorId="0" ref="M162">
      <text>
        <t xml:space="preserve">Capital final del calendario teórico. No equivale al saldo real si hay pagos parciales o atrasos.</t>
      </text>
    </comment>
    <comment authorId="0" ref="N162">
      <text>
        <t xml:space="preserve">Suma de pagos válidos del mismo ID y cuota con fecha igual o anterior al corte.</t>
      </text>
    </comment>
    <comment authorId="0" ref="O162">
      <text>
        <t xml:space="preserve">MIN(amortización pactada; MAX(0; pagado − cargos − interés)). No imputa excedentes a otras cuotas.</t>
      </text>
    </comment>
    <comment authorId="0" ref="P162">
      <text>
        <t xml:space="preserve">MAX(0; total pactado − pagado a esta cuota). Incluye capital, interés y cargos pendientes de ESA cuota.</t>
      </text>
    </comment>
    <comment authorId="0" ref="Q162">
      <text>
        <t xml:space="preserve">Días desde vencimiento hasta corte, solo si venció antes del corte y sigue con saldo.</t>
      </text>
    </comment>
    <comment authorId="0" ref="R162">
      <text>
        <t xml:space="preserve">MAX(0; pagado − cuota pactada). Exceso para revisar: no se traspasa a otra cuota.</t>
      </text>
    </comment>
    <comment authorId="0" ref="S162">
      <text>
        <t xml:space="preserve">Pagada, Vencida, Vence hoy, Por vencer o Exceso sin imputar según fecha y saldo al corte.</t>
      </text>
    </comment>
    <comment authorId="0" ref="T162">
      <text>
        <t xml:space="preserve">Auxiliar para encontrar la primera cuota pendiente. El 999999 indica que esta cuota no tiene saldo pendiente o está fuera del plazo, y no es una fecha real.</t>
      </text>
    </comment>
    <comment authorId="0" ref="C163">
      <text>
        <t xml:space="preserve">Crédito al que corresponde esta cuota.</t>
      </text>
    </comment>
    <comment authorId="0" ref="D163">
      <text>
        <t xml:space="preserve">Número de cuota dentro del crédito.</t>
      </text>
    </comment>
    <comment authorId="0" ref="E163">
      <text>
        <t xml:space="preserve">Fecha según EDATE a partir del primer vencimiento. No ajusta automáticamente feriados.</t>
      </text>
    </comment>
    <comment authorId="0" ref="F163">
      <text>
        <t xml:space="preserve">Capital al inicio del período en el calendario ORIGINAL, sin recalcular por pagos reales.</t>
      </text>
    </comment>
    <comment authorId="0" ref="G163">
      <text>
        <t xml:space="preserve">Tasa efectiva del mes según la base ingresada.</t>
      </text>
    </comment>
    <comment authorId="0" ref="H163">
      <text>
        <t xml:space="preserve">Interés del período = capital inicial × tasa mensual, redondeado a dos decimales.</t>
      </text>
    </comment>
    <comment authorId="0" ref="I163">
      <text>
        <t xml:space="preserve">Capital e interés pactados. La última cuota ajusta el saldo por redondeo.</t>
      </text>
    </comment>
    <comment authorId="0" ref="J163">
      <text>
        <t xml:space="preserve">Capital amortizado TEÓRICO = cuota base − interés, limitado al saldo.</t>
      </text>
    </comment>
    <comment authorId="0" ref="K163">
      <text>
        <t xml:space="preserve">Seguro y otros cargos fijos del mes.</t>
      </text>
    </comment>
    <comment authorId="0" ref="L163">
      <text>
        <t xml:space="preserve">Cuota base + cargos.</t>
      </text>
    </comment>
    <comment authorId="0" ref="M163">
      <text>
        <t xml:space="preserve">Capital final del calendario teórico. No equivale al saldo real si hay pagos parciales o atrasos.</t>
      </text>
    </comment>
    <comment authorId="0" ref="N163">
      <text>
        <t xml:space="preserve">Suma de pagos válidos del mismo ID y cuota con fecha igual o anterior al corte.</t>
      </text>
    </comment>
    <comment authorId="0" ref="O163">
      <text>
        <t xml:space="preserve">MIN(amortización pactada; MAX(0; pagado − cargos − interés)). No imputa excedentes a otras cuotas.</t>
      </text>
    </comment>
    <comment authorId="0" ref="P163">
      <text>
        <t xml:space="preserve">MAX(0; total pactado − pagado a esta cuota). Incluye capital, interés y cargos pendientes de ESA cuota.</t>
      </text>
    </comment>
    <comment authorId="0" ref="Q163">
      <text>
        <t xml:space="preserve">Días desde vencimiento hasta corte, solo si venció antes del corte y sigue con saldo.</t>
      </text>
    </comment>
    <comment authorId="0" ref="R163">
      <text>
        <t xml:space="preserve">MAX(0; pagado − cuota pactada). Exceso para revisar: no se traspasa a otra cuota.</t>
      </text>
    </comment>
    <comment authorId="0" ref="S163">
      <text>
        <t xml:space="preserve">Pagada, Vencida, Vence hoy, Por vencer o Exceso sin imputar según fecha y saldo al corte.</t>
      </text>
    </comment>
    <comment authorId="0" ref="T163">
      <text>
        <t xml:space="preserve">Auxiliar para encontrar la primera cuota pendiente. El 999999 indica que esta cuota no tiene saldo pendiente o está fuera del plazo, y no es una fecha real.</t>
      </text>
    </comment>
    <comment authorId="0" ref="C164">
      <text>
        <t xml:space="preserve">Crédito al que corresponde esta cuota.</t>
      </text>
    </comment>
    <comment authorId="0" ref="D164">
      <text>
        <t xml:space="preserve">Número de cuota dentro del crédito.</t>
      </text>
    </comment>
    <comment authorId="0" ref="E164">
      <text>
        <t xml:space="preserve">Fecha según EDATE a partir del primer vencimiento. No ajusta automáticamente feriados.</t>
      </text>
    </comment>
    <comment authorId="0" ref="F164">
      <text>
        <t xml:space="preserve">Capital al inicio del período en el calendario ORIGINAL, sin recalcular por pagos reales.</t>
      </text>
    </comment>
    <comment authorId="0" ref="G164">
      <text>
        <t xml:space="preserve">Tasa efectiva del mes según la base ingresada.</t>
      </text>
    </comment>
    <comment authorId="0" ref="H164">
      <text>
        <t xml:space="preserve">Interés del período = capital inicial × tasa mensual, redondeado a dos decimales.</t>
      </text>
    </comment>
    <comment authorId="0" ref="I164">
      <text>
        <t xml:space="preserve">Capital e interés pactados. La última cuota ajusta el saldo por redondeo.</t>
      </text>
    </comment>
    <comment authorId="0" ref="J164">
      <text>
        <t xml:space="preserve">Capital amortizado TEÓRICO = cuota base − interés, limitado al saldo.</t>
      </text>
    </comment>
    <comment authorId="0" ref="K164">
      <text>
        <t xml:space="preserve">Seguro y otros cargos fijos del mes.</t>
      </text>
    </comment>
    <comment authorId="0" ref="L164">
      <text>
        <t xml:space="preserve">Cuota base + cargos.</t>
      </text>
    </comment>
    <comment authorId="0" ref="M164">
      <text>
        <t xml:space="preserve">Capital final del calendario teórico. No equivale al saldo real si hay pagos parciales o atrasos.</t>
      </text>
    </comment>
    <comment authorId="0" ref="N164">
      <text>
        <t xml:space="preserve">Suma de pagos válidos del mismo ID y cuota con fecha igual o anterior al corte.</t>
      </text>
    </comment>
    <comment authorId="0" ref="O164">
      <text>
        <t xml:space="preserve">MIN(amortización pactada; MAX(0; pagado − cargos − interés)). No imputa excedentes a otras cuotas.</t>
      </text>
    </comment>
    <comment authorId="0" ref="P164">
      <text>
        <t xml:space="preserve">MAX(0; total pactado − pagado a esta cuota). Incluye capital, interés y cargos pendientes de ESA cuota.</t>
      </text>
    </comment>
    <comment authorId="0" ref="Q164">
      <text>
        <t xml:space="preserve">Días desde vencimiento hasta corte, solo si venció antes del corte y sigue con saldo.</t>
      </text>
    </comment>
    <comment authorId="0" ref="R164">
      <text>
        <t xml:space="preserve">MAX(0; pagado − cuota pactada). Exceso para revisar: no se traspasa a otra cuota.</t>
      </text>
    </comment>
    <comment authorId="0" ref="S164">
      <text>
        <t xml:space="preserve">Pagada, Vencida, Vence hoy, Por vencer o Exceso sin imputar según fecha y saldo al corte.</t>
      </text>
    </comment>
    <comment authorId="0" ref="T164">
      <text>
        <t xml:space="preserve">Auxiliar para encontrar la primera cuota pendiente. El 999999 indica que esta cuota no tiene saldo pendiente o está fuera del plazo, y no es una fecha real.</t>
      </text>
    </comment>
    <comment authorId="0" ref="C165">
      <text>
        <t xml:space="preserve">Crédito al que corresponde esta cuota.</t>
      </text>
    </comment>
    <comment authorId="0" ref="D165">
      <text>
        <t xml:space="preserve">Número de cuota dentro del crédito.</t>
      </text>
    </comment>
    <comment authorId="0" ref="E165">
      <text>
        <t xml:space="preserve">Fecha según EDATE a partir del primer vencimiento. No ajusta automáticamente feriados.</t>
      </text>
    </comment>
    <comment authorId="0" ref="F165">
      <text>
        <t xml:space="preserve">Capital al inicio del período en el calendario ORIGINAL, sin recalcular por pagos reales.</t>
      </text>
    </comment>
    <comment authorId="0" ref="G165">
      <text>
        <t xml:space="preserve">Tasa efectiva del mes según la base ingresada.</t>
      </text>
    </comment>
    <comment authorId="0" ref="H165">
      <text>
        <t xml:space="preserve">Interés del período = capital inicial × tasa mensual, redondeado a dos decimales.</t>
      </text>
    </comment>
    <comment authorId="0" ref="I165">
      <text>
        <t xml:space="preserve">Capital e interés pactados. La última cuota ajusta el saldo por redondeo.</t>
      </text>
    </comment>
    <comment authorId="0" ref="J165">
      <text>
        <t xml:space="preserve">Capital amortizado TEÓRICO = cuota base − interés, limitado al saldo.</t>
      </text>
    </comment>
    <comment authorId="0" ref="K165">
      <text>
        <t xml:space="preserve">Seguro y otros cargos fijos del mes.</t>
      </text>
    </comment>
    <comment authorId="0" ref="L165">
      <text>
        <t xml:space="preserve">Cuota base + cargos.</t>
      </text>
    </comment>
    <comment authorId="0" ref="M165">
      <text>
        <t xml:space="preserve">Capital final del calendario teórico. No equivale al saldo real si hay pagos parciales o atrasos.</t>
      </text>
    </comment>
    <comment authorId="0" ref="N165">
      <text>
        <t xml:space="preserve">Suma de pagos válidos del mismo ID y cuota con fecha igual o anterior al corte.</t>
      </text>
    </comment>
    <comment authorId="0" ref="O165">
      <text>
        <t xml:space="preserve">MIN(amortización pactada; MAX(0; pagado − cargos − interés)). No imputa excedentes a otras cuotas.</t>
      </text>
    </comment>
    <comment authorId="0" ref="P165">
      <text>
        <t xml:space="preserve">MAX(0; total pactado − pagado a esta cuota). Incluye capital, interés y cargos pendientes de ESA cuota.</t>
      </text>
    </comment>
    <comment authorId="0" ref="Q165">
      <text>
        <t xml:space="preserve">Días desde vencimiento hasta corte, solo si venció antes del corte y sigue con saldo.</t>
      </text>
    </comment>
    <comment authorId="0" ref="R165">
      <text>
        <t xml:space="preserve">MAX(0; pagado − cuota pactada). Exceso para revisar: no se traspasa a otra cuota.</t>
      </text>
    </comment>
    <comment authorId="0" ref="S165">
      <text>
        <t xml:space="preserve">Pagada, Vencida, Vence hoy, Por vencer o Exceso sin imputar según fecha y saldo al corte.</t>
      </text>
    </comment>
    <comment authorId="0" ref="T165">
      <text>
        <t xml:space="preserve">Auxiliar para encontrar la primera cuota pendiente. El 999999 indica que esta cuota no tiene saldo pendiente o está fuera del plazo, y no es una fecha real.</t>
      </text>
    </comment>
    <comment authorId="0" ref="C166">
      <text>
        <t xml:space="preserve">Crédito al que corresponde esta cuota.</t>
      </text>
    </comment>
    <comment authorId="0" ref="D166">
      <text>
        <t xml:space="preserve">Número de cuota dentro del crédito.</t>
      </text>
    </comment>
    <comment authorId="0" ref="E166">
      <text>
        <t xml:space="preserve">Fecha según EDATE a partir del primer vencimiento. No ajusta automáticamente feriados.</t>
      </text>
    </comment>
    <comment authorId="0" ref="F166">
      <text>
        <t xml:space="preserve">Capital al inicio del período en el calendario ORIGINAL, sin recalcular por pagos reales.</t>
      </text>
    </comment>
    <comment authorId="0" ref="G166">
      <text>
        <t xml:space="preserve">Tasa efectiva del mes según la base ingresada.</t>
      </text>
    </comment>
    <comment authorId="0" ref="H166">
      <text>
        <t xml:space="preserve">Interés del período = capital inicial × tasa mensual, redondeado a dos decimales.</t>
      </text>
    </comment>
    <comment authorId="0" ref="I166">
      <text>
        <t xml:space="preserve">Capital e interés pactados. La última cuota ajusta el saldo por redondeo.</t>
      </text>
    </comment>
    <comment authorId="0" ref="J166">
      <text>
        <t xml:space="preserve">Capital amortizado TEÓRICO = cuota base − interés, limitado al saldo.</t>
      </text>
    </comment>
    <comment authorId="0" ref="K166">
      <text>
        <t xml:space="preserve">Seguro y otros cargos fijos del mes.</t>
      </text>
    </comment>
    <comment authorId="0" ref="L166">
      <text>
        <t xml:space="preserve">Cuota base + cargos.</t>
      </text>
    </comment>
    <comment authorId="0" ref="M166">
      <text>
        <t xml:space="preserve">Capital final del calendario teórico. No equivale al saldo real si hay pagos parciales o atrasos.</t>
      </text>
    </comment>
    <comment authorId="0" ref="N166">
      <text>
        <t xml:space="preserve">Suma de pagos válidos del mismo ID y cuota con fecha igual o anterior al corte.</t>
      </text>
    </comment>
    <comment authorId="0" ref="O166">
      <text>
        <t xml:space="preserve">MIN(amortización pactada; MAX(0; pagado − cargos − interés)). No imputa excedentes a otras cuotas.</t>
      </text>
    </comment>
    <comment authorId="0" ref="P166">
      <text>
        <t xml:space="preserve">MAX(0; total pactado − pagado a esta cuota). Incluye capital, interés y cargos pendientes de ESA cuota.</t>
      </text>
    </comment>
    <comment authorId="0" ref="Q166">
      <text>
        <t xml:space="preserve">Días desde vencimiento hasta corte, solo si venció antes del corte y sigue con saldo.</t>
      </text>
    </comment>
    <comment authorId="0" ref="R166">
      <text>
        <t xml:space="preserve">MAX(0; pagado − cuota pactada). Exceso para revisar: no se traspasa a otra cuota.</t>
      </text>
    </comment>
    <comment authorId="0" ref="S166">
      <text>
        <t xml:space="preserve">Pagada, Vencida, Vence hoy, Por vencer o Exceso sin imputar según fecha y saldo al corte.</t>
      </text>
    </comment>
    <comment authorId="0" ref="T166">
      <text>
        <t xml:space="preserve">Auxiliar para encontrar la primera cuota pendiente. El 999999 indica que esta cuota no tiene saldo pendiente o está fuera del plazo, y no es una fecha real.</t>
      </text>
    </comment>
    <comment authorId="0" ref="C167">
      <text>
        <t xml:space="preserve">Crédito al que corresponde esta cuota.</t>
      </text>
    </comment>
    <comment authorId="0" ref="D167">
      <text>
        <t xml:space="preserve">Número de cuota dentro del crédito.</t>
      </text>
    </comment>
    <comment authorId="0" ref="E167">
      <text>
        <t xml:space="preserve">Fecha según EDATE a partir del primer vencimiento. No ajusta automáticamente feriados.</t>
      </text>
    </comment>
    <comment authorId="0" ref="F167">
      <text>
        <t xml:space="preserve">Capital al inicio del período en el calendario ORIGINAL, sin recalcular por pagos reales.</t>
      </text>
    </comment>
    <comment authorId="0" ref="G167">
      <text>
        <t xml:space="preserve">Tasa efectiva del mes según la base ingresada.</t>
      </text>
    </comment>
    <comment authorId="0" ref="H167">
      <text>
        <t xml:space="preserve">Interés del período = capital inicial × tasa mensual, redondeado a dos decimales.</t>
      </text>
    </comment>
    <comment authorId="0" ref="I167">
      <text>
        <t xml:space="preserve">Capital e interés pactados. La última cuota ajusta el saldo por redondeo.</t>
      </text>
    </comment>
    <comment authorId="0" ref="J167">
      <text>
        <t xml:space="preserve">Capital amortizado TEÓRICO = cuota base − interés, limitado al saldo.</t>
      </text>
    </comment>
    <comment authorId="0" ref="K167">
      <text>
        <t xml:space="preserve">Seguro y otros cargos fijos del mes.</t>
      </text>
    </comment>
    <comment authorId="0" ref="L167">
      <text>
        <t xml:space="preserve">Cuota base + cargos.</t>
      </text>
    </comment>
    <comment authorId="0" ref="M167">
      <text>
        <t xml:space="preserve">Capital final del calendario teórico. No equivale al saldo real si hay pagos parciales o atrasos.</t>
      </text>
    </comment>
    <comment authorId="0" ref="N167">
      <text>
        <t xml:space="preserve">Suma de pagos válidos del mismo ID y cuota con fecha igual o anterior al corte.</t>
      </text>
    </comment>
    <comment authorId="0" ref="O167">
      <text>
        <t xml:space="preserve">MIN(amortización pactada; MAX(0; pagado − cargos − interés)). No imputa excedentes a otras cuotas.</t>
      </text>
    </comment>
    <comment authorId="0" ref="P167">
      <text>
        <t xml:space="preserve">MAX(0; total pactado − pagado a esta cuota). Incluye capital, interés y cargos pendientes de ESA cuota.</t>
      </text>
    </comment>
    <comment authorId="0" ref="Q167">
      <text>
        <t xml:space="preserve">Días desde vencimiento hasta corte, solo si venció antes del corte y sigue con saldo.</t>
      </text>
    </comment>
    <comment authorId="0" ref="R167">
      <text>
        <t xml:space="preserve">MAX(0; pagado − cuota pactada). Exceso para revisar: no se traspasa a otra cuota.</t>
      </text>
    </comment>
    <comment authorId="0" ref="S167">
      <text>
        <t xml:space="preserve">Pagada, Vencida, Vence hoy, Por vencer o Exceso sin imputar según fecha y saldo al corte.</t>
      </text>
    </comment>
    <comment authorId="0" ref="T167">
      <text>
        <t xml:space="preserve">Auxiliar para encontrar la primera cuota pendiente. El 999999 indica que esta cuota no tiene saldo pendiente o está fuera del plazo, y no es una fecha real.</t>
      </text>
    </comment>
    <comment authorId="0" ref="C168">
      <text>
        <t xml:space="preserve">Crédito al que corresponde esta cuota.</t>
      </text>
    </comment>
    <comment authorId="0" ref="D168">
      <text>
        <t xml:space="preserve">Número de cuota dentro del crédito.</t>
      </text>
    </comment>
    <comment authorId="0" ref="E168">
      <text>
        <t xml:space="preserve">Fecha según EDATE a partir del primer vencimiento. No ajusta automáticamente feriados.</t>
      </text>
    </comment>
    <comment authorId="0" ref="F168">
      <text>
        <t xml:space="preserve">Capital al inicio del período en el calendario ORIGINAL, sin recalcular por pagos reales.</t>
      </text>
    </comment>
    <comment authorId="0" ref="G168">
      <text>
        <t xml:space="preserve">Tasa efectiva del mes según la base ingresada.</t>
      </text>
    </comment>
    <comment authorId="0" ref="H168">
      <text>
        <t xml:space="preserve">Interés del período = capital inicial × tasa mensual, redondeado a dos decimales.</t>
      </text>
    </comment>
    <comment authorId="0" ref="I168">
      <text>
        <t xml:space="preserve">Capital e interés pactados. La última cuota ajusta el saldo por redondeo.</t>
      </text>
    </comment>
    <comment authorId="0" ref="J168">
      <text>
        <t xml:space="preserve">Capital amortizado TEÓRICO = cuota base − interés, limitado al saldo.</t>
      </text>
    </comment>
    <comment authorId="0" ref="K168">
      <text>
        <t xml:space="preserve">Seguro y otros cargos fijos del mes.</t>
      </text>
    </comment>
    <comment authorId="0" ref="L168">
      <text>
        <t xml:space="preserve">Cuota base + cargos.</t>
      </text>
    </comment>
    <comment authorId="0" ref="M168">
      <text>
        <t xml:space="preserve">Capital final del calendario teórico. No equivale al saldo real si hay pagos parciales o atrasos.</t>
      </text>
    </comment>
    <comment authorId="0" ref="N168">
      <text>
        <t xml:space="preserve">Suma de pagos válidos del mismo ID y cuota con fecha igual o anterior al corte.</t>
      </text>
    </comment>
    <comment authorId="0" ref="O168">
      <text>
        <t xml:space="preserve">MIN(amortización pactada; MAX(0; pagado − cargos − interés)). No imputa excedentes a otras cuotas.</t>
      </text>
    </comment>
    <comment authorId="0" ref="P168">
      <text>
        <t xml:space="preserve">MAX(0; total pactado − pagado a esta cuota). Incluye capital, interés y cargos pendientes de ESA cuota.</t>
      </text>
    </comment>
    <comment authorId="0" ref="Q168">
      <text>
        <t xml:space="preserve">Días desde vencimiento hasta corte, solo si venció antes del corte y sigue con saldo.</t>
      </text>
    </comment>
    <comment authorId="0" ref="R168">
      <text>
        <t xml:space="preserve">MAX(0; pagado − cuota pactada). Exceso para revisar: no se traspasa a otra cuota.</t>
      </text>
    </comment>
    <comment authorId="0" ref="S168">
      <text>
        <t xml:space="preserve">Pagada, Vencida, Vence hoy, Por vencer o Exceso sin imputar según fecha y saldo al corte.</t>
      </text>
    </comment>
    <comment authorId="0" ref="T168">
      <text>
        <t xml:space="preserve">Auxiliar para encontrar la primera cuota pendiente. El 999999 indica que esta cuota no tiene saldo pendiente o está fuera del plazo, y no es una fecha real.</t>
      </text>
    </comment>
    <comment authorId="0" ref="C169">
      <text>
        <t xml:space="preserve">Crédito al que corresponde esta cuota.</t>
      </text>
    </comment>
    <comment authorId="0" ref="D169">
      <text>
        <t xml:space="preserve">Número de cuota dentro del crédito.</t>
      </text>
    </comment>
    <comment authorId="0" ref="E169">
      <text>
        <t xml:space="preserve">Fecha según EDATE a partir del primer vencimiento. No ajusta automáticamente feriados.</t>
      </text>
    </comment>
    <comment authorId="0" ref="F169">
      <text>
        <t xml:space="preserve">Capital al inicio del período en el calendario ORIGINAL, sin recalcular por pagos reales.</t>
      </text>
    </comment>
    <comment authorId="0" ref="G169">
      <text>
        <t xml:space="preserve">Tasa efectiva del mes según la base ingresada.</t>
      </text>
    </comment>
    <comment authorId="0" ref="H169">
      <text>
        <t xml:space="preserve">Interés del período = capital inicial × tasa mensual, redondeado a dos decimales.</t>
      </text>
    </comment>
    <comment authorId="0" ref="I169">
      <text>
        <t xml:space="preserve">Capital e interés pactados. La última cuota ajusta el saldo por redondeo.</t>
      </text>
    </comment>
    <comment authorId="0" ref="J169">
      <text>
        <t xml:space="preserve">Capital amortizado TEÓRICO = cuota base − interés, limitado al saldo.</t>
      </text>
    </comment>
    <comment authorId="0" ref="K169">
      <text>
        <t xml:space="preserve">Seguro y otros cargos fijos del mes.</t>
      </text>
    </comment>
    <comment authorId="0" ref="L169">
      <text>
        <t xml:space="preserve">Cuota base + cargos.</t>
      </text>
    </comment>
    <comment authorId="0" ref="M169">
      <text>
        <t xml:space="preserve">Capital final del calendario teórico. No equivale al saldo real si hay pagos parciales o atrasos.</t>
      </text>
    </comment>
    <comment authorId="0" ref="N169">
      <text>
        <t xml:space="preserve">Suma de pagos válidos del mismo ID y cuota con fecha igual o anterior al corte.</t>
      </text>
    </comment>
    <comment authorId="0" ref="O169">
      <text>
        <t xml:space="preserve">MIN(amortización pactada; MAX(0; pagado − cargos − interés)). No imputa excedentes a otras cuotas.</t>
      </text>
    </comment>
    <comment authorId="0" ref="P169">
      <text>
        <t xml:space="preserve">MAX(0; total pactado − pagado a esta cuota). Incluye capital, interés y cargos pendientes de ESA cuota.</t>
      </text>
    </comment>
    <comment authorId="0" ref="Q169">
      <text>
        <t xml:space="preserve">Días desde vencimiento hasta corte, solo si venció antes del corte y sigue con saldo.</t>
      </text>
    </comment>
    <comment authorId="0" ref="R169">
      <text>
        <t xml:space="preserve">MAX(0; pagado − cuota pactada). Exceso para revisar: no se traspasa a otra cuota.</t>
      </text>
    </comment>
    <comment authorId="0" ref="S169">
      <text>
        <t xml:space="preserve">Pagada, Vencida, Vence hoy, Por vencer o Exceso sin imputar según fecha y saldo al corte.</t>
      </text>
    </comment>
    <comment authorId="0" ref="T169">
      <text>
        <t xml:space="preserve">Auxiliar para encontrar la primera cuota pendiente. El 999999 indica que esta cuota no tiene saldo pendiente o está fuera del plazo, y no es una fecha real.</t>
      </text>
    </comment>
    <comment authorId="0" ref="C170">
      <text>
        <t xml:space="preserve">Crédito al que corresponde esta cuota.</t>
      </text>
    </comment>
    <comment authorId="0" ref="D170">
      <text>
        <t xml:space="preserve">Número de cuota dentro del crédito.</t>
      </text>
    </comment>
    <comment authorId="0" ref="E170">
      <text>
        <t xml:space="preserve">Fecha según EDATE a partir del primer vencimiento. No ajusta automáticamente feriados.</t>
      </text>
    </comment>
    <comment authorId="0" ref="F170">
      <text>
        <t xml:space="preserve">Capital al inicio del período en el calendario ORIGINAL, sin recalcular por pagos reales.</t>
      </text>
    </comment>
    <comment authorId="0" ref="G170">
      <text>
        <t xml:space="preserve">Tasa efectiva del mes según la base ingresada.</t>
      </text>
    </comment>
    <comment authorId="0" ref="H170">
      <text>
        <t xml:space="preserve">Interés del período = capital inicial × tasa mensual, redondeado a dos decimales.</t>
      </text>
    </comment>
    <comment authorId="0" ref="I170">
      <text>
        <t xml:space="preserve">Capital e interés pactados. La última cuota ajusta el saldo por redondeo.</t>
      </text>
    </comment>
    <comment authorId="0" ref="J170">
      <text>
        <t xml:space="preserve">Capital amortizado TEÓRICO = cuota base − interés, limitado al saldo.</t>
      </text>
    </comment>
    <comment authorId="0" ref="K170">
      <text>
        <t xml:space="preserve">Seguro y otros cargos fijos del mes.</t>
      </text>
    </comment>
    <comment authorId="0" ref="L170">
      <text>
        <t xml:space="preserve">Cuota base + cargos.</t>
      </text>
    </comment>
    <comment authorId="0" ref="M170">
      <text>
        <t xml:space="preserve">Capital final del calendario teórico. No equivale al saldo real si hay pagos parciales o atrasos.</t>
      </text>
    </comment>
    <comment authorId="0" ref="N170">
      <text>
        <t xml:space="preserve">Suma de pagos válidos del mismo ID y cuota con fecha igual o anterior al corte.</t>
      </text>
    </comment>
    <comment authorId="0" ref="O170">
      <text>
        <t xml:space="preserve">MIN(amortización pactada; MAX(0; pagado − cargos − interés)). No imputa excedentes a otras cuotas.</t>
      </text>
    </comment>
    <comment authorId="0" ref="P170">
      <text>
        <t xml:space="preserve">MAX(0; total pactado − pagado a esta cuota). Incluye capital, interés y cargos pendientes de ESA cuota.</t>
      </text>
    </comment>
    <comment authorId="0" ref="Q170">
      <text>
        <t xml:space="preserve">Días desde vencimiento hasta corte, solo si venció antes del corte y sigue con saldo.</t>
      </text>
    </comment>
    <comment authorId="0" ref="R170">
      <text>
        <t xml:space="preserve">MAX(0; pagado − cuota pactada). Exceso para revisar: no se traspasa a otra cuota.</t>
      </text>
    </comment>
    <comment authorId="0" ref="S170">
      <text>
        <t xml:space="preserve">Pagada, Vencida, Vence hoy, Por vencer o Exceso sin imputar según fecha y saldo al corte.</t>
      </text>
    </comment>
    <comment authorId="0" ref="T170">
      <text>
        <t xml:space="preserve">Auxiliar para encontrar la primera cuota pendiente. El 999999 indica que esta cuota no tiene saldo pendiente o está fuera del plazo, y no es una fecha real.</t>
      </text>
    </comment>
    <comment authorId="0" ref="C171">
      <text>
        <t xml:space="preserve">Crédito al que corresponde esta cuota.</t>
      </text>
    </comment>
    <comment authorId="0" ref="D171">
      <text>
        <t xml:space="preserve">Número de cuota dentro del crédito.</t>
      </text>
    </comment>
    <comment authorId="0" ref="E171">
      <text>
        <t xml:space="preserve">Fecha según EDATE a partir del primer vencimiento. No ajusta automáticamente feriados.</t>
      </text>
    </comment>
    <comment authorId="0" ref="F171">
      <text>
        <t xml:space="preserve">Capital al inicio del período en el calendario ORIGINAL, sin recalcular por pagos reales.</t>
      </text>
    </comment>
    <comment authorId="0" ref="G171">
      <text>
        <t xml:space="preserve">Tasa efectiva del mes según la base ingresada.</t>
      </text>
    </comment>
    <comment authorId="0" ref="H171">
      <text>
        <t xml:space="preserve">Interés del período = capital inicial × tasa mensual, redondeado a dos decimales.</t>
      </text>
    </comment>
    <comment authorId="0" ref="I171">
      <text>
        <t xml:space="preserve">Capital e interés pactados. La última cuota ajusta el saldo por redondeo.</t>
      </text>
    </comment>
    <comment authorId="0" ref="J171">
      <text>
        <t xml:space="preserve">Capital amortizado TEÓRICO = cuota base − interés, limitado al saldo.</t>
      </text>
    </comment>
    <comment authorId="0" ref="K171">
      <text>
        <t xml:space="preserve">Seguro y otros cargos fijos del mes.</t>
      </text>
    </comment>
    <comment authorId="0" ref="L171">
      <text>
        <t xml:space="preserve">Cuota base + cargos.</t>
      </text>
    </comment>
    <comment authorId="0" ref="M171">
      <text>
        <t xml:space="preserve">Capital final del calendario teórico. No equivale al saldo real si hay pagos parciales o atrasos.</t>
      </text>
    </comment>
    <comment authorId="0" ref="N171">
      <text>
        <t xml:space="preserve">Suma de pagos válidos del mismo ID y cuota con fecha igual o anterior al corte.</t>
      </text>
    </comment>
    <comment authorId="0" ref="O171">
      <text>
        <t xml:space="preserve">MIN(amortización pactada; MAX(0; pagado − cargos − interés)). No imputa excedentes a otras cuotas.</t>
      </text>
    </comment>
    <comment authorId="0" ref="P171">
      <text>
        <t xml:space="preserve">MAX(0; total pactado − pagado a esta cuota). Incluye capital, interés y cargos pendientes de ESA cuota.</t>
      </text>
    </comment>
    <comment authorId="0" ref="Q171">
      <text>
        <t xml:space="preserve">Días desde vencimiento hasta corte, solo si venció antes del corte y sigue con saldo.</t>
      </text>
    </comment>
    <comment authorId="0" ref="R171">
      <text>
        <t xml:space="preserve">MAX(0; pagado − cuota pactada). Exceso para revisar: no se traspasa a otra cuota.</t>
      </text>
    </comment>
    <comment authorId="0" ref="S171">
      <text>
        <t xml:space="preserve">Pagada, Vencida, Vence hoy, Por vencer o Exceso sin imputar según fecha y saldo al corte.</t>
      </text>
    </comment>
    <comment authorId="0" ref="T171">
      <text>
        <t xml:space="preserve">Auxiliar para encontrar la primera cuota pendiente. El 999999 indica que esta cuota no tiene saldo pendiente o está fuera del plazo, y no es una fecha real.</t>
      </text>
    </comment>
    <comment authorId="0" ref="C172">
      <text>
        <t xml:space="preserve">Crédito al que corresponde esta cuota.</t>
      </text>
    </comment>
    <comment authorId="0" ref="D172">
      <text>
        <t xml:space="preserve">Número de cuota dentro del crédito.</t>
      </text>
    </comment>
    <comment authorId="0" ref="E172">
      <text>
        <t xml:space="preserve">Fecha según EDATE a partir del primer vencimiento. No ajusta automáticamente feriados.</t>
      </text>
    </comment>
    <comment authorId="0" ref="F172">
      <text>
        <t xml:space="preserve">Capital al inicio del período en el calendario ORIGINAL, sin recalcular por pagos reales.</t>
      </text>
    </comment>
    <comment authorId="0" ref="G172">
      <text>
        <t xml:space="preserve">Tasa efectiva del mes según la base ingresada.</t>
      </text>
    </comment>
    <comment authorId="0" ref="H172">
      <text>
        <t xml:space="preserve">Interés del período = capital inicial × tasa mensual, redondeado a dos decimales.</t>
      </text>
    </comment>
    <comment authorId="0" ref="I172">
      <text>
        <t xml:space="preserve">Capital e interés pactados. La última cuota ajusta el saldo por redondeo.</t>
      </text>
    </comment>
    <comment authorId="0" ref="J172">
      <text>
        <t xml:space="preserve">Capital amortizado TEÓRICO = cuota base − interés, limitado al saldo.</t>
      </text>
    </comment>
    <comment authorId="0" ref="K172">
      <text>
        <t xml:space="preserve">Seguro y otros cargos fijos del mes.</t>
      </text>
    </comment>
    <comment authorId="0" ref="L172">
      <text>
        <t xml:space="preserve">Cuota base + cargos.</t>
      </text>
    </comment>
    <comment authorId="0" ref="M172">
      <text>
        <t xml:space="preserve">Capital final del calendario teórico. No equivale al saldo real si hay pagos parciales o atrasos.</t>
      </text>
    </comment>
    <comment authorId="0" ref="N172">
      <text>
        <t xml:space="preserve">Suma de pagos válidos del mismo ID y cuota con fecha igual o anterior al corte.</t>
      </text>
    </comment>
    <comment authorId="0" ref="O172">
      <text>
        <t xml:space="preserve">MIN(amortización pactada; MAX(0; pagado − cargos − interés)). No imputa excedentes a otras cuotas.</t>
      </text>
    </comment>
    <comment authorId="0" ref="P172">
      <text>
        <t xml:space="preserve">MAX(0; total pactado − pagado a esta cuota). Incluye capital, interés y cargos pendientes de ESA cuota.</t>
      </text>
    </comment>
    <comment authorId="0" ref="Q172">
      <text>
        <t xml:space="preserve">Días desde vencimiento hasta corte, solo si venció antes del corte y sigue con saldo.</t>
      </text>
    </comment>
    <comment authorId="0" ref="R172">
      <text>
        <t xml:space="preserve">MAX(0; pagado − cuota pactada). Exceso para revisar: no se traspasa a otra cuota.</t>
      </text>
    </comment>
    <comment authorId="0" ref="S172">
      <text>
        <t xml:space="preserve">Pagada, Vencida, Vence hoy, Por vencer o Exceso sin imputar según fecha y saldo al corte.</t>
      </text>
    </comment>
    <comment authorId="0" ref="T172">
      <text>
        <t xml:space="preserve">Auxiliar para encontrar la primera cuota pendiente. El 999999 indica que esta cuota no tiene saldo pendiente o está fuera del plazo, y no es una fecha real.</t>
      </text>
    </comment>
    <comment authorId="0" ref="C173">
      <text>
        <t xml:space="preserve">Crédito al que corresponde esta cuota.</t>
      </text>
    </comment>
    <comment authorId="0" ref="D173">
      <text>
        <t xml:space="preserve">Número de cuota dentro del crédito.</t>
      </text>
    </comment>
    <comment authorId="0" ref="E173">
      <text>
        <t xml:space="preserve">Fecha según EDATE a partir del primer vencimiento. No ajusta automáticamente feriados.</t>
      </text>
    </comment>
    <comment authorId="0" ref="F173">
      <text>
        <t xml:space="preserve">Capital al inicio del período en el calendario ORIGINAL, sin recalcular por pagos reales.</t>
      </text>
    </comment>
    <comment authorId="0" ref="G173">
      <text>
        <t xml:space="preserve">Tasa efectiva del mes según la base ingresada.</t>
      </text>
    </comment>
    <comment authorId="0" ref="H173">
      <text>
        <t xml:space="preserve">Interés del período = capital inicial × tasa mensual, redondeado a dos decimales.</t>
      </text>
    </comment>
    <comment authorId="0" ref="I173">
      <text>
        <t xml:space="preserve">Capital e interés pactados. La última cuota ajusta el saldo por redondeo.</t>
      </text>
    </comment>
    <comment authorId="0" ref="J173">
      <text>
        <t xml:space="preserve">Capital amortizado TEÓRICO = cuota base − interés, limitado al saldo.</t>
      </text>
    </comment>
    <comment authorId="0" ref="K173">
      <text>
        <t xml:space="preserve">Seguro y otros cargos fijos del mes.</t>
      </text>
    </comment>
    <comment authorId="0" ref="L173">
      <text>
        <t xml:space="preserve">Cuota base + cargos.</t>
      </text>
    </comment>
    <comment authorId="0" ref="M173">
      <text>
        <t xml:space="preserve">Capital final del calendario teórico. No equivale al saldo real si hay pagos parciales o atrasos.</t>
      </text>
    </comment>
    <comment authorId="0" ref="N173">
      <text>
        <t xml:space="preserve">Suma de pagos válidos del mismo ID y cuota con fecha igual o anterior al corte.</t>
      </text>
    </comment>
    <comment authorId="0" ref="O173">
      <text>
        <t xml:space="preserve">MIN(amortización pactada; MAX(0; pagado − cargos − interés)). No imputa excedentes a otras cuotas.</t>
      </text>
    </comment>
    <comment authorId="0" ref="P173">
      <text>
        <t xml:space="preserve">MAX(0; total pactado − pagado a esta cuota). Incluye capital, interés y cargos pendientes de ESA cuota.</t>
      </text>
    </comment>
    <comment authorId="0" ref="Q173">
      <text>
        <t xml:space="preserve">Días desde vencimiento hasta corte, solo si venció antes del corte y sigue con saldo.</t>
      </text>
    </comment>
    <comment authorId="0" ref="R173">
      <text>
        <t xml:space="preserve">MAX(0; pagado − cuota pactada). Exceso para revisar: no se traspasa a otra cuota.</t>
      </text>
    </comment>
    <comment authorId="0" ref="S173">
      <text>
        <t xml:space="preserve">Pagada, Vencida, Vence hoy, Por vencer o Exceso sin imputar según fecha y saldo al corte.</t>
      </text>
    </comment>
    <comment authorId="0" ref="T173">
      <text>
        <t xml:space="preserve">Auxiliar para encontrar la primera cuota pendiente. El 999999 indica que esta cuota no tiene saldo pendiente o está fuera del plazo, y no es una fecha real.</t>
      </text>
    </comment>
    <comment authorId="0" ref="C174">
      <text>
        <t xml:space="preserve">Crédito al que corresponde esta cuota.</t>
      </text>
    </comment>
    <comment authorId="0" ref="D174">
      <text>
        <t xml:space="preserve">Número de cuota dentro del crédito.</t>
      </text>
    </comment>
    <comment authorId="0" ref="E174">
      <text>
        <t xml:space="preserve">Fecha según EDATE a partir del primer vencimiento. No ajusta automáticamente feriados.</t>
      </text>
    </comment>
    <comment authorId="0" ref="F174">
      <text>
        <t xml:space="preserve">Capital al inicio del período en el calendario ORIGINAL, sin recalcular por pagos reales.</t>
      </text>
    </comment>
    <comment authorId="0" ref="G174">
      <text>
        <t xml:space="preserve">Tasa efectiva del mes según la base ingresada.</t>
      </text>
    </comment>
    <comment authorId="0" ref="H174">
      <text>
        <t xml:space="preserve">Interés del período = capital inicial × tasa mensual, redondeado a dos decimales.</t>
      </text>
    </comment>
    <comment authorId="0" ref="I174">
      <text>
        <t xml:space="preserve">Capital e interés pactados. La última cuota ajusta el saldo por redondeo.</t>
      </text>
    </comment>
    <comment authorId="0" ref="J174">
      <text>
        <t xml:space="preserve">Capital amortizado TEÓRICO = cuota base − interés, limitado al saldo.</t>
      </text>
    </comment>
    <comment authorId="0" ref="K174">
      <text>
        <t xml:space="preserve">Seguro y otros cargos fijos del mes.</t>
      </text>
    </comment>
    <comment authorId="0" ref="L174">
      <text>
        <t xml:space="preserve">Cuota base + cargos.</t>
      </text>
    </comment>
    <comment authorId="0" ref="M174">
      <text>
        <t xml:space="preserve">Capital final del calendario teórico. No equivale al saldo real si hay pagos parciales o atrasos.</t>
      </text>
    </comment>
    <comment authorId="0" ref="N174">
      <text>
        <t xml:space="preserve">Suma de pagos válidos del mismo ID y cuota con fecha igual o anterior al corte.</t>
      </text>
    </comment>
    <comment authorId="0" ref="O174">
      <text>
        <t xml:space="preserve">MIN(amortización pactada; MAX(0; pagado − cargos − interés)). No imputa excedentes a otras cuotas.</t>
      </text>
    </comment>
    <comment authorId="0" ref="P174">
      <text>
        <t xml:space="preserve">MAX(0; total pactado − pagado a esta cuota). Incluye capital, interés y cargos pendientes de ESA cuota.</t>
      </text>
    </comment>
    <comment authorId="0" ref="Q174">
      <text>
        <t xml:space="preserve">Días desde vencimiento hasta corte, solo si venció antes del corte y sigue con saldo.</t>
      </text>
    </comment>
    <comment authorId="0" ref="R174">
      <text>
        <t xml:space="preserve">MAX(0; pagado − cuota pactada). Exceso para revisar: no se traspasa a otra cuota.</t>
      </text>
    </comment>
    <comment authorId="0" ref="S174">
      <text>
        <t xml:space="preserve">Pagada, Vencida, Vence hoy, Por vencer o Exceso sin imputar según fecha y saldo al corte.</t>
      </text>
    </comment>
    <comment authorId="0" ref="T174">
      <text>
        <t xml:space="preserve">Auxiliar para encontrar la primera cuota pendiente. El 999999 indica que esta cuota no tiene saldo pendiente o está fuera del plazo, y no es una fecha real.</t>
      </text>
    </comment>
    <comment authorId="0" ref="C175">
      <text>
        <t xml:space="preserve">Crédito al que corresponde esta cuota.</t>
      </text>
    </comment>
    <comment authorId="0" ref="D175">
      <text>
        <t xml:space="preserve">Número de cuota dentro del crédito.</t>
      </text>
    </comment>
    <comment authorId="0" ref="E175">
      <text>
        <t xml:space="preserve">Fecha según EDATE a partir del primer vencimiento. No ajusta automáticamente feriados.</t>
      </text>
    </comment>
    <comment authorId="0" ref="F175">
      <text>
        <t xml:space="preserve">Capital al inicio del período en el calendario ORIGINAL, sin recalcular por pagos reales.</t>
      </text>
    </comment>
    <comment authorId="0" ref="G175">
      <text>
        <t xml:space="preserve">Tasa efectiva del mes según la base ingresada.</t>
      </text>
    </comment>
    <comment authorId="0" ref="H175">
      <text>
        <t xml:space="preserve">Interés del período = capital inicial × tasa mensual, redondeado a dos decimales.</t>
      </text>
    </comment>
    <comment authorId="0" ref="I175">
      <text>
        <t xml:space="preserve">Capital e interés pactados. La última cuota ajusta el saldo por redondeo.</t>
      </text>
    </comment>
    <comment authorId="0" ref="J175">
      <text>
        <t xml:space="preserve">Capital amortizado TEÓRICO = cuota base − interés, limitado al saldo.</t>
      </text>
    </comment>
    <comment authorId="0" ref="K175">
      <text>
        <t xml:space="preserve">Seguro y otros cargos fijos del mes.</t>
      </text>
    </comment>
    <comment authorId="0" ref="L175">
      <text>
        <t xml:space="preserve">Cuota base + cargos.</t>
      </text>
    </comment>
    <comment authorId="0" ref="M175">
      <text>
        <t xml:space="preserve">Capital final del calendario teórico. No equivale al saldo real si hay pagos parciales o atrasos.</t>
      </text>
    </comment>
    <comment authorId="0" ref="N175">
      <text>
        <t xml:space="preserve">Suma de pagos válidos del mismo ID y cuota con fecha igual o anterior al corte.</t>
      </text>
    </comment>
    <comment authorId="0" ref="O175">
      <text>
        <t xml:space="preserve">MIN(amortización pactada; MAX(0; pagado − cargos − interés)). No imputa excedentes a otras cuotas.</t>
      </text>
    </comment>
    <comment authorId="0" ref="P175">
      <text>
        <t xml:space="preserve">MAX(0; total pactado − pagado a esta cuota). Incluye capital, interés y cargos pendientes de ESA cuota.</t>
      </text>
    </comment>
    <comment authorId="0" ref="Q175">
      <text>
        <t xml:space="preserve">Días desde vencimiento hasta corte, solo si venció antes del corte y sigue con saldo.</t>
      </text>
    </comment>
    <comment authorId="0" ref="R175">
      <text>
        <t xml:space="preserve">MAX(0; pagado − cuota pactada). Exceso para revisar: no se traspasa a otra cuota.</t>
      </text>
    </comment>
    <comment authorId="0" ref="S175">
      <text>
        <t xml:space="preserve">Pagada, Vencida, Vence hoy, Por vencer o Exceso sin imputar según fecha y saldo al corte.</t>
      </text>
    </comment>
    <comment authorId="0" ref="T175">
      <text>
        <t xml:space="preserve">Auxiliar para encontrar la primera cuota pendiente. El 999999 indica que esta cuota no tiene saldo pendiente o está fuera del plazo, y no es una fecha real.</t>
      </text>
    </comment>
    <comment authorId="0" ref="C176">
      <text>
        <t xml:space="preserve">Crédito al que corresponde esta cuota.</t>
      </text>
    </comment>
    <comment authorId="0" ref="D176">
      <text>
        <t xml:space="preserve">Número de cuota dentro del crédito.</t>
      </text>
    </comment>
    <comment authorId="0" ref="E176">
      <text>
        <t xml:space="preserve">Fecha según EDATE a partir del primer vencimiento. No ajusta automáticamente feriados.</t>
      </text>
    </comment>
    <comment authorId="0" ref="F176">
      <text>
        <t xml:space="preserve">Capital al inicio del período en el calendario ORIGINAL, sin recalcular por pagos reales.</t>
      </text>
    </comment>
    <comment authorId="0" ref="G176">
      <text>
        <t xml:space="preserve">Tasa efectiva del mes según la base ingresada.</t>
      </text>
    </comment>
    <comment authorId="0" ref="H176">
      <text>
        <t xml:space="preserve">Interés del período = capital inicial × tasa mensual, redondeado a dos decimales.</t>
      </text>
    </comment>
    <comment authorId="0" ref="I176">
      <text>
        <t xml:space="preserve">Capital e interés pactados. La última cuota ajusta el saldo por redondeo.</t>
      </text>
    </comment>
    <comment authorId="0" ref="J176">
      <text>
        <t xml:space="preserve">Capital amortizado TEÓRICO = cuota base − interés, limitado al saldo.</t>
      </text>
    </comment>
    <comment authorId="0" ref="K176">
      <text>
        <t xml:space="preserve">Seguro y otros cargos fijos del mes.</t>
      </text>
    </comment>
    <comment authorId="0" ref="L176">
      <text>
        <t xml:space="preserve">Cuota base + cargos.</t>
      </text>
    </comment>
    <comment authorId="0" ref="M176">
      <text>
        <t xml:space="preserve">Capital final del calendario teórico. No equivale al saldo real si hay pagos parciales o atrasos.</t>
      </text>
    </comment>
    <comment authorId="0" ref="N176">
      <text>
        <t xml:space="preserve">Suma de pagos válidos del mismo ID y cuota con fecha igual o anterior al corte.</t>
      </text>
    </comment>
    <comment authorId="0" ref="O176">
      <text>
        <t xml:space="preserve">MIN(amortización pactada; MAX(0; pagado − cargos − interés)). No imputa excedentes a otras cuotas.</t>
      </text>
    </comment>
    <comment authorId="0" ref="P176">
      <text>
        <t xml:space="preserve">MAX(0; total pactado − pagado a esta cuota). Incluye capital, interés y cargos pendientes de ESA cuota.</t>
      </text>
    </comment>
    <comment authorId="0" ref="Q176">
      <text>
        <t xml:space="preserve">Días desde vencimiento hasta corte, solo si venció antes del corte y sigue con saldo.</t>
      </text>
    </comment>
    <comment authorId="0" ref="R176">
      <text>
        <t xml:space="preserve">MAX(0; pagado − cuota pactada). Exceso para revisar: no se traspasa a otra cuota.</t>
      </text>
    </comment>
    <comment authorId="0" ref="S176">
      <text>
        <t xml:space="preserve">Pagada, Vencida, Vence hoy, Por vencer o Exceso sin imputar según fecha y saldo al corte.</t>
      </text>
    </comment>
    <comment authorId="0" ref="T176">
      <text>
        <t xml:space="preserve">Auxiliar para encontrar la primera cuota pendiente. El 999999 indica que esta cuota no tiene saldo pendiente o está fuera del plazo, y no es una fecha real.</t>
      </text>
    </comment>
    <comment authorId="0" ref="C177">
      <text>
        <t xml:space="preserve">Crédito al que corresponde esta cuota.</t>
      </text>
    </comment>
    <comment authorId="0" ref="D177">
      <text>
        <t xml:space="preserve">Número de cuota dentro del crédito.</t>
      </text>
    </comment>
    <comment authorId="0" ref="E177">
      <text>
        <t xml:space="preserve">Fecha según EDATE a partir del primer vencimiento. No ajusta automáticamente feriados.</t>
      </text>
    </comment>
    <comment authorId="0" ref="F177">
      <text>
        <t xml:space="preserve">Capital al inicio del período en el calendario ORIGINAL, sin recalcular por pagos reales.</t>
      </text>
    </comment>
    <comment authorId="0" ref="G177">
      <text>
        <t xml:space="preserve">Tasa efectiva del mes según la base ingresada.</t>
      </text>
    </comment>
    <comment authorId="0" ref="H177">
      <text>
        <t xml:space="preserve">Interés del período = capital inicial × tasa mensual, redondeado a dos decimales.</t>
      </text>
    </comment>
    <comment authorId="0" ref="I177">
      <text>
        <t xml:space="preserve">Capital e interés pactados. La última cuota ajusta el saldo por redondeo.</t>
      </text>
    </comment>
    <comment authorId="0" ref="J177">
      <text>
        <t xml:space="preserve">Capital amortizado TEÓRICO = cuota base − interés, limitado al saldo.</t>
      </text>
    </comment>
    <comment authorId="0" ref="K177">
      <text>
        <t xml:space="preserve">Seguro y otros cargos fijos del mes.</t>
      </text>
    </comment>
    <comment authorId="0" ref="L177">
      <text>
        <t xml:space="preserve">Cuota base + cargos.</t>
      </text>
    </comment>
    <comment authorId="0" ref="M177">
      <text>
        <t xml:space="preserve">Capital final del calendario teórico. No equivale al saldo real si hay pagos parciales o atrasos.</t>
      </text>
    </comment>
    <comment authorId="0" ref="N177">
      <text>
        <t xml:space="preserve">Suma de pagos válidos del mismo ID y cuota con fecha igual o anterior al corte.</t>
      </text>
    </comment>
    <comment authorId="0" ref="O177">
      <text>
        <t xml:space="preserve">MIN(amortización pactada; MAX(0; pagado − cargos − interés)). No imputa excedentes a otras cuotas.</t>
      </text>
    </comment>
    <comment authorId="0" ref="P177">
      <text>
        <t xml:space="preserve">MAX(0; total pactado − pagado a esta cuota). Incluye capital, interés y cargos pendientes de ESA cuota.</t>
      </text>
    </comment>
    <comment authorId="0" ref="Q177">
      <text>
        <t xml:space="preserve">Días desde vencimiento hasta corte, solo si venció antes del corte y sigue con saldo.</t>
      </text>
    </comment>
    <comment authorId="0" ref="R177">
      <text>
        <t xml:space="preserve">MAX(0; pagado − cuota pactada). Exceso para revisar: no se traspasa a otra cuota.</t>
      </text>
    </comment>
    <comment authorId="0" ref="S177">
      <text>
        <t xml:space="preserve">Pagada, Vencida, Vence hoy, Por vencer o Exceso sin imputar según fecha y saldo al corte.</t>
      </text>
    </comment>
    <comment authorId="0" ref="T177">
      <text>
        <t xml:space="preserve">Auxiliar para encontrar la primera cuota pendiente. El 999999 indica que esta cuota no tiene saldo pendiente o está fuera del plazo, y no es una fecha real.</t>
      </text>
    </comment>
    <comment authorId="0" ref="C178">
      <text>
        <t xml:space="preserve">Crédito al que corresponde esta cuota.</t>
      </text>
    </comment>
    <comment authorId="0" ref="D178">
      <text>
        <t xml:space="preserve">Número de cuota dentro del crédito.</t>
      </text>
    </comment>
    <comment authorId="0" ref="E178">
      <text>
        <t xml:space="preserve">Fecha según EDATE a partir del primer vencimiento. No ajusta automáticamente feriados.</t>
      </text>
    </comment>
    <comment authorId="0" ref="F178">
      <text>
        <t xml:space="preserve">Capital al inicio del período en el calendario ORIGINAL, sin recalcular por pagos reales.</t>
      </text>
    </comment>
    <comment authorId="0" ref="G178">
      <text>
        <t xml:space="preserve">Tasa efectiva del mes según la base ingresada.</t>
      </text>
    </comment>
    <comment authorId="0" ref="H178">
      <text>
        <t xml:space="preserve">Interés del período = capital inicial × tasa mensual, redondeado a dos decimales.</t>
      </text>
    </comment>
    <comment authorId="0" ref="I178">
      <text>
        <t xml:space="preserve">Capital e interés pactados. La última cuota ajusta el saldo por redondeo.</t>
      </text>
    </comment>
    <comment authorId="0" ref="J178">
      <text>
        <t xml:space="preserve">Capital amortizado TEÓRICO = cuota base − interés, limitado al saldo.</t>
      </text>
    </comment>
    <comment authorId="0" ref="K178">
      <text>
        <t xml:space="preserve">Seguro y otros cargos fijos del mes.</t>
      </text>
    </comment>
    <comment authorId="0" ref="L178">
      <text>
        <t xml:space="preserve">Cuota base + cargos.</t>
      </text>
    </comment>
    <comment authorId="0" ref="M178">
      <text>
        <t xml:space="preserve">Capital final del calendario teórico. No equivale al saldo real si hay pagos parciales o atrasos.</t>
      </text>
    </comment>
    <comment authorId="0" ref="N178">
      <text>
        <t xml:space="preserve">Suma de pagos válidos del mismo ID y cuota con fecha igual o anterior al corte.</t>
      </text>
    </comment>
    <comment authorId="0" ref="O178">
      <text>
        <t xml:space="preserve">MIN(amortización pactada; MAX(0; pagado − cargos − interés)). No imputa excedentes a otras cuotas.</t>
      </text>
    </comment>
    <comment authorId="0" ref="P178">
      <text>
        <t xml:space="preserve">MAX(0; total pactado − pagado a esta cuota). Incluye capital, interés y cargos pendientes de ESA cuota.</t>
      </text>
    </comment>
    <comment authorId="0" ref="Q178">
      <text>
        <t xml:space="preserve">Días desde vencimiento hasta corte, solo si venció antes del corte y sigue con saldo.</t>
      </text>
    </comment>
    <comment authorId="0" ref="R178">
      <text>
        <t xml:space="preserve">MAX(0; pagado − cuota pactada). Exceso para revisar: no se traspasa a otra cuota.</t>
      </text>
    </comment>
    <comment authorId="0" ref="S178">
      <text>
        <t xml:space="preserve">Pagada, Vencida, Vence hoy, Por vencer o Exceso sin imputar según fecha y saldo al corte.</t>
      </text>
    </comment>
    <comment authorId="0" ref="T178">
      <text>
        <t xml:space="preserve">Auxiliar para encontrar la primera cuota pendiente. El 999999 indica que esta cuota no tiene saldo pendiente o está fuera del plazo, y no es una fecha real.</t>
      </text>
    </comment>
    <comment authorId="0" ref="C179">
      <text>
        <t xml:space="preserve">Crédito al que corresponde esta cuota.</t>
      </text>
    </comment>
    <comment authorId="0" ref="D179">
      <text>
        <t xml:space="preserve">Número de cuota dentro del crédito.</t>
      </text>
    </comment>
    <comment authorId="0" ref="E179">
      <text>
        <t xml:space="preserve">Fecha según EDATE a partir del primer vencimiento. No ajusta automáticamente feriados.</t>
      </text>
    </comment>
    <comment authorId="0" ref="F179">
      <text>
        <t xml:space="preserve">Capital al inicio del período en el calendario ORIGINAL, sin recalcular por pagos reales.</t>
      </text>
    </comment>
    <comment authorId="0" ref="G179">
      <text>
        <t xml:space="preserve">Tasa efectiva del mes según la base ingresada.</t>
      </text>
    </comment>
    <comment authorId="0" ref="H179">
      <text>
        <t xml:space="preserve">Interés del período = capital inicial × tasa mensual, redondeado a dos decimales.</t>
      </text>
    </comment>
    <comment authorId="0" ref="I179">
      <text>
        <t xml:space="preserve">Capital e interés pactados. La última cuota ajusta el saldo por redondeo.</t>
      </text>
    </comment>
    <comment authorId="0" ref="J179">
      <text>
        <t xml:space="preserve">Capital amortizado TEÓRICO = cuota base − interés, limitado al saldo.</t>
      </text>
    </comment>
    <comment authorId="0" ref="K179">
      <text>
        <t xml:space="preserve">Seguro y otros cargos fijos del mes.</t>
      </text>
    </comment>
    <comment authorId="0" ref="L179">
      <text>
        <t xml:space="preserve">Cuota base + cargos.</t>
      </text>
    </comment>
    <comment authorId="0" ref="M179">
      <text>
        <t xml:space="preserve">Capital final del calendario teórico. No equivale al saldo real si hay pagos parciales o atrasos.</t>
      </text>
    </comment>
    <comment authorId="0" ref="N179">
      <text>
        <t xml:space="preserve">Suma de pagos válidos del mismo ID y cuota con fecha igual o anterior al corte.</t>
      </text>
    </comment>
    <comment authorId="0" ref="O179">
      <text>
        <t xml:space="preserve">MIN(amortización pactada; MAX(0; pagado − cargos − interés)). No imputa excedentes a otras cuotas.</t>
      </text>
    </comment>
    <comment authorId="0" ref="P179">
      <text>
        <t xml:space="preserve">MAX(0; total pactado − pagado a esta cuota). Incluye capital, interés y cargos pendientes de ESA cuota.</t>
      </text>
    </comment>
    <comment authorId="0" ref="Q179">
      <text>
        <t xml:space="preserve">Días desde vencimiento hasta corte, solo si venció antes del corte y sigue con saldo.</t>
      </text>
    </comment>
    <comment authorId="0" ref="R179">
      <text>
        <t xml:space="preserve">MAX(0; pagado − cuota pactada). Exceso para revisar: no se traspasa a otra cuota.</t>
      </text>
    </comment>
    <comment authorId="0" ref="S179">
      <text>
        <t xml:space="preserve">Pagada, Vencida, Vence hoy, Por vencer o Exceso sin imputar según fecha y saldo al corte.</t>
      </text>
    </comment>
    <comment authorId="0" ref="T179">
      <text>
        <t xml:space="preserve">Auxiliar para encontrar la primera cuota pendiente. El 999999 indica que esta cuota no tiene saldo pendiente o está fuera del plazo, y no es una fecha real.</t>
      </text>
    </comment>
    <comment authorId="0" ref="C180">
      <text>
        <t xml:space="preserve">Crédito al que corresponde esta cuota.</t>
      </text>
    </comment>
    <comment authorId="0" ref="D180">
      <text>
        <t xml:space="preserve">Número de cuota dentro del crédito.</t>
      </text>
    </comment>
    <comment authorId="0" ref="E180">
      <text>
        <t xml:space="preserve">Fecha según EDATE a partir del primer vencimiento. No ajusta automáticamente feriados.</t>
      </text>
    </comment>
    <comment authorId="0" ref="F180">
      <text>
        <t xml:space="preserve">Capital al inicio del período en el calendario ORIGINAL, sin recalcular por pagos reales.</t>
      </text>
    </comment>
    <comment authorId="0" ref="G180">
      <text>
        <t xml:space="preserve">Tasa efectiva del mes según la base ingresada.</t>
      </text>
    </comment>
    <comment authorId="0" ref="H180">
      <text>
        <t xml:space="preserve">Interés del período = capital inicial × tasa mensual, redondeado a dos decimales.</t>
      </text>
    </comment>
    <comment authorId="0" ref="I180">
      <text>
        <t xml:space="preserve">Capital e interés pactados. La última cuota ajusta el saldo por redondeo.</t>
      </text>
    </comment>
    <comment authorId="0" ref="J180">
      <text>
        <t xml:space="preserve">Capital amortizado TEÓRICO = cuota base − interés, limitado al saldo.</t>
      </text>
    </comment>
    <comment authorId="0" ref="K180">
      <text>
        <t xml:space="preserve">Seguro y otros cargos fijos del mes.</t>
      </text>
    </comment>
    <comment authorId="0" ref="L180">
      <text>
        <t xml:space="preserve">Cuota base + cargos.</t>
      </text>
    </comment>
    <comment authorId="0" ref="M180">
      <text>
        <t xml:space="preserve">Capital final del calendario teórico. No equivale al saldo real si hay pagos parciales o atrasos.</t>
      </text>
    </comment>
    <comment authorId="0" ref="N180">
      <text>
        <t xml:space="preserve">Suma de pagos válidos del mismo ID y cuota con fecha igual o anterior al corte.</t>
      </text>
    </comment>
    <comment authorId="0" ref="O180">
      <text>
        <t xml:space="preserve">MIN(amortización pactada; MAX(0; pagado − cargos − interés)). No imputa excedentes a otras cuotas.</t>
      </text>
    </comment>
    <comment authorId="0" ref="P180">
      <text>
        <t xml:space="preserve">MAX(0; total pactado − pagado a esta cuota). Incluye capital, interés y cargos pendientes de ESA cuota.</t>
      </text>
    </comment>
    <comment authorId="0" ref="Q180">
      <text>
        <t xml:space="preserve">Días desde vencimiento hasta corte, solo si venció antes del corte y sigue con saldo.</t>
      </text>
    </comment>
    <comment authorId="0" ref="R180">
      <text>
        <t xml:space="preserve">MAX(0; pagado − cuota pactada). Exceso para revisar: no se traspasa a otra cuota.</t>
      </text>
    </comment>
    <comment authorId="0" ref="S180">
      <text>
        <t xml:space="preserve">Pagada, Vencida, Vence hoy, Por vencer o Exceso sin imputar según fecha y saldo al corte.</t>
      </text>
    </comment>
    <comment authorId="0" ref="T180">
      <text>
        <t xml:space="preserve">Auxiliar para encontrar la primera cuota pendiente. El 999999 indica que esta cuota no tiene saldo pendiente o está fuera del plazo, y no es una fecha real.</t>
      </text>
    </comment>
    <comment authorId="0" ref="C181">
      <text>
        <t xml:space="preserve">Crédito al que corresponde esta cuota.</t>
      </text>
    </comment>
    <comment authorId="0" ref="D181">
      <text>
        <t xml:space="preserve">Número de cuota dentro del crédito.</t>
      </text>
    </comment>
    <comment authorId="0" ref="E181">
      <text>
        <t xml:space="preserve">Fecha según EDATE a partir del primer vencimiento. No ajusta automáticamente feriados.</t>
      </text>
    </comment>
    <comment authorId="0" ref="F181">
      <text>
        <t xml:space="preserve">Capital al inicio del período en el calendario ORIGINAL, sin recalcular por pagos reales.</t>
      </text>
    </comment>
    <comment authorId="0" ref="G181">
      <text>
        <t xml:space="preserve">Tasa efectiva del mes según la base ingresada.</t>
      </text>
    </comment>
    <comment authorId="0" ref="H181">
      <text>
        <t xml:space="preserve">Interés del período = capital inicial × tasa mensual, redondeado a dos decimales.</t>
      </text>
    </comment>
    <comment authorId="0" ref="I181">
      <text>
        <t xml:space="preserve">Capital e interés pactados. La última cuota ajusta el saldo por redondeo.</t>
      </text>
    </comment>
    <comment authorId="0" ref="J181">
      <text>
        <t xml:space="preserve">Capital amortizado TEÓRICO = cuota base − interés, limitado al saldo.</t>
      </text>
    </comment>
    <comment authorId="0" ref="K181">
      <text>
        <t xml:space="preserve">Seguro y otros cargos fijos del mes.</t>
      </text>
    </comment>
    <comment authorId="0" ref="L181">
      <text>
        <t xml:space="preserve">Cuota base + cargos.</t>
      </text>
    </comment>
    <comment authorId="0" ref="M181">
      <text>
        <t xml:space="preserve">Capital final del calendario teórico. No equivale al saldo real si hay pagos parciales o atrasos.</t>
      </text>
    </comment>
    <comment authorId="0" ref="N181">
      <text>
        <t xml:space="preserve">Suma de pagos válidos del mismo ID y cuota con fecha igual o anterior al corte.</t>
      </text>
    </comment>
    <comment authorId="0" ref="O181">
      <text>
        <t xml:space="preserve">MIN(amortización pactada; MAX(0; pagado − cargos − interés)). No imputa excedentes a otras cuotas.</t>
      </text>
    </comment>
    <comment authorId="0" ref="P181">
      <text>
        <t xml:space="preserve">MAX(0; total pactado − pagado a esta cuota). Incluye capital, interés y cargos pendientes de ESA cuota.</t>
      </text>
    </comment>
    <comment authorId="0" ref="Q181">
      <text>
        <t xml:space="preserve">Días desde vencimiento hasta corte, solo si venció antes del corte y sigue con saldo.</t>
      </text>
    </comment>
    <comment authorId="0" ref="R181">
      <text>
        <t xml:space="preserve">MAX(0; pagado − cuota pactada). Exceso para revisar: no se traspasa a otra cuota.</t>
      </text>
    </comment>
    <comment authorId="0" ref="S181">
      <text>
        <t xml:space="preserve">Pagada, Vencida, Vence hoy, Por vencer o Exceso sin imputar según fecha y saldo al corte.</t>
      </text>
    </comment>
    <comment authorId="0" ref="T181">
      <text>
        <t xml:space="preserve">Auxiliar para encontrar la primera cuota pendiente. El 999999 indica que esta cuota no tiene saldo pendiente o está fuera del plazo, y no es una fecha real.</t>
      </text>
    </comment>
    <comment authorId="0" ref="C182">
      <text>
        <t xml:space="preserve">Crédito al que corresponde esta cuota.</t>
      </text>
    </comment>
    <comment authorId="0" ref="D182">
      <text>
        <t xml:space="preserve">Número de cuota dentro del crédito.</t>
      </text>
    </comment>
    <comment authorId="0" ref="E182">
      <text>
        <t xml:space="preserve">Fecha según EDATE a partir del primer vencimiento. No ajusta automáticamente feriados.</t>
      </text>
    </comment>
    <comment authorId="0" ref="F182">
      <text>
        <t xml:space="preserve">Capital al inicio del período en el calendario ORIGINAL, sin recalcular por pagos reales.</t>
      </text>
    </comment>
    <comment authorId="0" ref="G182">
      <text>
        <t xml:space="preserve">Tasa efectiva del mes según la base ingresada.</t>
      </text>
    </comment>
    <comment authorId="0" ref="H182">
      <text>
        <t xml:space="preserve">Interés del período = capital inicial × tasa mensual, redondeado a dos decimales.</t>
      </text>
    </comment>
    <comment authorId="0" ref="I182">
      <text>
        <t xml:space="preserve">Capital e interés pactados. La última cuota ajusta el saldo por redondeo.</t>
      </text>
    </comment>
    <comment authorId="0" ref="J182">
      <text>
        <t xml:space="preserve">Capital amortizado TEÓRICO = cuota base − interés, limitado al saldo.</t>
      </text>
    </comment>
    <comment authorId="0" ref="K182">
      <text>
        <t xml:space="preserve">Seguro y otros cargos fijos del mes.</t>
      </text>
    </comment>
    <comment authorId="0" ref="L182">
      <text>
        <t xml:space="preserve">Cuota base + cargos.</t>
      </text>
    </comment>
    <comment authorId="0" ref="M182">
      <text>
        <t xml:space="preserve">Capital final del calendario teórico. No equivale al saldo real si hay pagos parciales o atrasos.</t>
      </text>
    </comment>
    <comment authorId="0" ref="N182">
      <text>
        <t xml:space="preserve">Suma de pagos válidos del mismo ID y cuota con fecha igual o anterior al corte.</t>
      </text>
    </comment>
    <comment authorId="0" ref="O182">
      <text>
        <t xml:space="preserve">MIN(amortización pactada; MAX(0; pagado − cargos − interés)). No imputa excedentes a otras cuotas.</t>
      </text>
    </comment>
    <comment authorId="0" ref="P182">
      <text>
        <t xml:space="preserve">MAX(0; total pactado − pagado a esta cuota). Incluye capital, interés y cargos pendientes de ESA cuota.</t>
      </text>
    </comment>
    <comment authorId="0" ref="Q182">
      <text>
        <t xml:space="preserve">Días desde vencimiento hasta corte, solo si venció antes del corte y sigue con saldo.</t>
      </text>
    </comment>
    <comment authorId="0" ref="R182">
      <text>
        <t xml:space="preserve">MAX(0; pagado − cuota pactada). Exceso para revisar: no se traspasa a otra cuota.</t>
      </text>
    </comment>
    <comment authorId="0" ref="S182">
      <text>
        <t xml:space="preserve">Pagada, Vencida, Vence hoy, Por vencer o Exceso sin imputar según fecha y saldo al corte.</t>
      </text>
    </comment>
    <comment authorId="0" ref="T182">
      <text>
        <t xml:space="preserve">Auxiliar para encontrar la primera cuota pendiente. El 999999 indica que esta cuota no tiene saldo pendiente o está fuera del plazo, y no es una fecha real.</t>
      </text>
    </comment>
    <comment authorId="0" ref="C183">
      <text>
        <t xml:space="preserve">Crédito al que corresponde esta cuota.</t>
      </text>
    </comment>
    <comment authorId="0" ref="D183">
      <text>
        <t xml:space="preserve">Número de cuota dentro del crédito.</t>
      </text>
    </comment>
    <comment authorId="0" ref="E183">
      <text>
        <t xml:space="preserve">Fecha según EDATE a partir del primer vencimiento. No ajusta automáticamente feriados.</t>
      </text>
    </comment>
    <comment authorId="0" ref="F183">
      <text>
        <t xml:space="preserve">Capital al inicio del período en el calendario ORIGINAL, sin recalcular por pagos reales.</t>
      </text>
    </comment>
    <comment authorId="0" ref="G183">
      <text>
        <t xml:space="preserve">Tasa efectiva del mes según la base ingresada.</t>
      </text>
    </comment>
    <comment authorId="0" ref="H183">
      <text>
        <t xml:space="preserve">Interés del período = capital inicial × tasa mensual, redondeado a dos decimales.</t>
      </text>
    </comment>
    <comment authorId="0" ref="I183">
      <text>
        <t xml:space="preserve">Capital e interés pactados. La última cuota ajusta el saldo por redondeo.</t>
      </text>
    </comment>
    <comment authorId="0" ref="J183">
      <text>
        <t xml:space="preserve">Capital amortizado TEÓRICO = cuota base − interés, limitado al saldo.</t>
      </text>
    </comment>
    <comment authorId="0" ref="K183">
      <text>
        <t xml:space="preserve">Seguro y otros cargos fijos del mes.</t>
      </text>
    </comment>
    <comment authorId="0" ref="L183">
      <text>
        <t xml:space="preserve">Cuota base + cargos.</t>
      </text>
    </comment>
    <comment authorId="0" ref="M183">
      <text>
        <t xml:space="preserve">Capital final del calendario teórico. No equivale al saldo real si hay pagos parciales o atrasos.</t>
      </text>
    </comment>
    <comment authorId="0" ref="N183">
      <text>
        <t xml:space="preserve">Suma de pagos válidos del mismo ID y cuota con fecha igual o anterior al corte.</t>
      </text>
    </comment>
    <comment authorId="0" ref="O183">
      <text>
        <t xml:space="preserve">MIN(amortización pactada; MAX(0; pagado − cargos − interés)). No imputa excedentes a otras cuotas.</t>
      </text>
    </comment>
    <comment authorId="0" ref="P183">
      <text>
        <t xml:space="preserve">MAX(0; total pactado − pagado a esta cuota). Incluye capital, interés y cargos pendientes de ESA cuota.</t>
      </text>
    </comment>
    <comment authorId="0" ref="Q183">
      <text>
        <t xml:space="preserve">Días desde vencimiento hasta corte, solo si venció antes del corte y sigue con saldo.</t>
      </text>
    </comment>
    <comment authorId="0" ref="R183">
      <text>
        <t xml:space="preserve">MAX(0; pagado − cuota pactada). Exceso para revisar: no se traspasa a otra cuota.</t>
      </text>
    </comment>
    <comment authorId="0" ref="S183">
      <text>
        <t xml:space="preserve">Pagada, Vencida, Vence hoy, Por vencer o Exceso sin imputar según fecha y saldo al corte.</t>
      </text>
    </comment>
    <comment authorId="0" ref="T183">
      <text>
        <t xml:space="preserve">Auxiliar para encontrar la primera cuota pendiente. El 999999 indica que esta cuota no tiene saldo pendiente o está fuera del plazo, y no es una fecha real.</t>
      </text>
    </comment>
    <comment authorId="0" ref="C184">
      <text>
        <t xml:space="preserve">Crédito al que corresponde esta cuota.</t>
      </text>
    </comment>
    <comment authorId="0" ref="D184">
      <text>
        <t xml:space="preserve">Número de cuota dentro del crédito.</t>
      </text>
    </comment>
    <comment authorId="0" ref="E184">
      <text>
        <t xml:space="preserve">Fecha según EDATE a partir del primer vencimiento. No ajusta automáticamente feriados.</t>
      </text>
    </comment>
    <comment authorId="0" ref="F184">
      <text>
        <t xml:space="preserve">Capital al inicio del período en el calendario ORIGINAL, sin recalcular por pagos reales.</t>
      </text>
    </comment>
    <comment authorId="0" ref="G184">
      <text>
        <t xml:space="preserve">Tasa efectiva del mes según la base ingresada.</t>
      </text>
    </comment>
    <comment authorId="0" ref="H184">
      <text>
        <t xml:space="preserve">Interés del período = capital inicial × tasa mensual, redondeado a dos decimales.</t>
      </text>
    </comment>
    <comment authorId="0" ref="I184">
      <text>
        <t xml:space="preserve">Capital e interés pactados. La última cuota ajusta el saldo por redondeo.</t>
      </text>
    </comment>
    <comment authorId="0" ref="J184">
      <text>
        <t xml:space="preserve">Capital amortizado TEÓRICO = cuota base − interés, limitado al saldo.</t>
      </text>
    </comment>
    <comment authorId="0" ref="K184">
      <text>
        <t xml:space="preserve">Seguro y otros cargos fijos del mes.</t>
      </text>
    </comment>
    <comment authorId="0" ref="L184">
      <text>
        <t xml:space="preserve">Cuota base + cargos.</t>
      </text>
    </comment>
    <comment authorId="0" ref="M184">
      <text>
        <t xml:space="preserve">Capital final del calendario teórico. No equivale al saldo real si hay pagos parciales o atrasos.</t>
      </text>
    </comment>
    <comment authorId="0" ref="N184">
      <text>
        <t xml:space="preserve">Suma de pagos válidos del mismo ID y cuota con fecha igual o anterior al corte.</t>
      </text>
    </comment>
    <comment authorId="0" ref="O184">
      <text>
        <t xml:space="preserve">MIN(amortización pactada; MAX(0; pagado − cargos − interés)). No imputa excedentes a otras cuotas.</t>
      </text>
    </comment>
    <comment authorId="0" ref="P184">
      <text>
        <t xml:space="preserve">MAX(0; total pactado − pagado a esta cuota). Incluye capital, interés y cargos pendientes de ESA cuota.</t>
      </text>
    </comment>
    <comment authorId="0" ref="Q184">
      <text>
        <t xml:space="preserve">Días desde vencimiento hasta corte, solo si venció antes del corte y sigue con saldo.</t>
      </text>
    </comment>
    <comment authorId="0" ref="R184">
      <text>
        <t xml:space="preserve">MAX(0; pagado − cuota pactada). Exceso para revisar: no se traspasa a otra cuota.</t>
      </text>
    </comment>
    <comment authorId="0" ref="S184">
      <text>
        <t xml:space="preserve">Pagada, Vencida, Vence hoy, Por vencer o Exceso sin imputar según fecha y saldo al corte.</t>
      </text>
    </comment>
    <comment authorId="0" ref="T184">
      <text>
        <t xml:space="preserve">Auxiliar para encontrar la primera cuota pendiente. El 999999 indica que esta cuota no tiene saldo pendiente o está fuera del plazo, y no es una fecha real.</t>
      </text>
    </comment>
    <comment authorId="0" ref="C185">
      <text>
        <t xml:space="preserve">Crédito al que corresponde esta cuota.</t>
      </text>
    </comment>
    <comment authorId="0" ref="D185">
      <text>
        <t xml:space="preserve">Número de cuota dentro del crédito.</t>
      </text>
    </comment>
    <comment authorId="0" ref="E185">
      <text>
        <t xml:space="preserve">Fecha según EDATE a partir del primer vencimiento. No ajusta automáticamente feriados.</t>
      </text>
    </comment>
    <comment authorId="0" ref="F185">
      <text>
        <t xml:space="preserve">Capital al inicio del período en el calendario ORIGINAL, sin recalcular por pagos reales.</t>
      </text>
    </comment>
    <comment authorId="0" ref="G185">
      <text>
        <t xml:space="preserve">Tasa efectiva del mes según la base ingresada.</t>
      </text>
    </comment>
    <comment authorId="0" ref="H185">
      <text>
        <t xml:space="preserve">Interés del período = capital inicial × tasa mensual, redondeado a dos decimales.</t>
      </text>
    </comment>
    <comment authorId="0" ref="I185">
      <text>
        <t xml:space="preserve">Capital e interés pactados. La última cuota ajusta el saldo por redondeo.</t>
      </text>
    </comment>
    <comment authorId="0" ref="J185">
      <text>
        <t xml:space="preserve">Capital amortizado TEÓRICO = cuota base − interés, limitado al saldo.</t>
      </text>
    </comment>
    <comment authorId="0" ref="K185">
      <text>
        <t xml:space="preserve">Seguro y otros cargos fijos del mes.</t>
      </text>
    </comment>
    <comment authorId="0" ref="L185">
      <text>
        <t xml:space="preserve">Cuota base + cargos.</t>
      </text>
    </comment>
    <comment authorId="0" ref="M185">
      <text>
        <t xml:space="preserve">Capital final del calendario teórico. No equivale al saldo real si hay pagos parciales o atrasos.</t>
      </text>
    </comment>
    <comment authorId="0" ref="N185">
      <text>
        <t xml:space="preserve">Suma de pagos válidos del mismo ID y cuota con fecha igual o anterior al corte.</t>
      </text>
    </comment>
    <comment authorId="0" ref="O185">
      <text>
        <t xml:space="preserve">MIN(amortización pactada; MAX(0; pagado − cargos − interés)). No imputa excedentes a otras cuotas.</t>
      </text>
    </comment>
    <comment authorId="0" ref="P185">
      <text>
        <t xml:space="preserve">MAX(0; total pactado − pagado a esta cuota). Incluye capital, interés y cargos pendientes de ESA cuota.</t>
      </text>
    </comment>
    <comment authorId="0" ref="Q185">
      <text>
        <t xml:space="preserve">Días desde vencimiento hasta corte, solo si venció antes del corte y sigue con saldo.</t>
      </text>
    </comment>
    <comment authorId="0" ref="R185">
      <text>
        <t xml:space="preserve">MAX(0; pagado − cuota pactada). Exceso para revisar: no se traspasa a otra cuota.</t>
      </text>
    </comment>
    <comment authorId="0" ref="S185">
      <text>
        <t xml:space="preserve">Pagada, Vencida, Vence hoy, Por vencer o Exceso sin imputar según fecha y saldo al corte.</t>
      </text>
    </comment>
    <comment authorId="0" ref="T185">
      <text>
        <t xml:space="preserve">Auxiliar para encontrar la primera cuota pendiente. El 999999 indica que esta cuota no tiene saldo pendiente o está fuera del plazo, y no es una fecha real.</t>
      </text>
    </comment>
    <comment authorId="0" ref="C186">
      <text>
        <t xml:space="preserve">Crédito al que corresponde esta cuota.</t>
      </text>
    </comment>
    <comment authorId="0" ref="D186">
      <text>
        <t xml:space="preserve">Número de cuota dentro del crédito.</t>
      </text>
    </comment>
    <comment authorId="0" ref="E186">
      <text>
        <t xml:space="preserve">Fecha según EDATE a partir del primer vencimiento. No ajusta automáticamente feriados.</t>
      </text>
    </comment>
    <comment authorId="0" ref="F186">
      <text>
        <t xml:space="preserve">Capital al inicio del período en el calendario ORIGINAL, sin recalcular por pagos reales.</t>
      </text>
    </comment>
    <comment authorId="0" ref="G186">
      <text>
        <t xml:space="preserve">Tasa efectiva del mes según la base ingresada.</t>
      </text>
    </comment>
    <comment authorId="0" ref="H186">
      <text>
        <t xml:space="preserve">Interés del período = capital inicial × tasa mensual, redondeado a dos decimales.</t>
      </text>
    </comment>
    <comment authorId="0" ref="I186">
      <text>
        <t xml:space="preserve">Capital e interés pactados. La última cuota ajusta el saldo por redondeo.</t>
      </text>
    </comment>
    <comment authorId="0" ref="J186">
      <text>
        <t xml:space="preserve">Capital amortizado TEÓRICO = cuota base − interés, limitado al saldo.</t>
      </text>
    </comment>
    <comment authorId="0" ref="K186">
      <text>
        <t xml:space="preserve">Seguro y otros cargos fijos del mes.</t>
      </text>
    </comment>
    <comment authorId="0" ref="L186">
      <text>
        <t xml:space="preserve">Cuota base + cargos.</t>
      </text>
    </comment>
    <comment authorId="0" ref="M186">
      <text>
        <t xml:space="preserve">Capital final del calendario teórico. No equivale al saldo real si hay pagos parciales o atrasos.</t>
      </text>
    </comment>
    <comment authorId="0" ref="N186">
      <text>
        <t xml:space="preserve">Suma de pagos válidos del mismo ID y cuota con fecha igual o anterior al corte.</t>
      </text>
    </comment>
    <comment authorId="0" ref="O186">
      <text>
        <t xml:space="preserve">MIN(amortización pactada; MAX(0; pagado − cargos − interés)). No imputa excedentes a otras cuotas.</t>
      </text>
    </comment>
    <comment authorId="0" ref="P186">
      <text>
        <t xml:space="preserve">MAX(0; total pactado − pagado a esta cuota). Incluye capital, interés y cargos pendientes de ESA cuota.</t>
      </text>
    </comment>
    <comment authorId="0" ref="Q186">
      <text>
        <t xml:space="preserve">Días desde vencimiento hasta corte, solo si venció antes del corte y sigue con saldo.</t>
      </text>
    </comment>
    <comment authorId="0" ref="R186">
      <text>
        <t xml:space="preserve">MAX(0; pagado − cuota pactada). Exceso para revisar: no se traspasa a otra cuota.</t>
      </text>
    </comment>
    <comment authorId="0" ref="S186">
      <text>
        <t xml:space="preserve">Pagada, Vencida, Vence hoy, Por vencer o Exceso sin imputar según fecha y saldo al corte.</t>
      </text>
    </comment>
    <comment authorId="0" ref="T186">
      <text>
        <t xml:space="preserve">Auxiliar para encontrar la primera cuota pendiente. El 999999 indica que esta cuota no tiene saldo pendiente o está fuera del plazo, y no es una fecha real.</t>
      </text>
    </comment>
    <comment authorId="0" ref="C187">
      <text>
        <t xml:space="preserve">Crédito al que corresponde esta cuota.</t>
      </text>
    </comment>
    <comment authorId="0" ref="D187">
      <text>
        <t xml:space="preserve">Número de cuota dentro del crédito.</t>
      </text>
    </comment>
    <comment authorId="0" ref="E187">
      <text>
        <t xml:space="preserve">Fecha según EDATE a partir del primer vencimiento. No ajusta automáticamente feriados.</t>
      </text>
    </comment>
    <comment authorId="0" ref="F187">
      <text>
        <t xml:space="preserve">Capital al inicio del período en el calendario ORIGINAL, sin recalcular por pagos reales.</t>
      </text>
    </comment>
    <comment authorId="0" ref="G187">
      <text>
        <t xml:space="preserve">Tasa efectiva del mes según la base ingresada.</t>
      </text>
    </comment>
    <comment authorId="0" ref="H187">
      <text>
        <t xml:space="preserve">Interés del período = capital inicial × tasa mensual, redondeado a dos decimales.</t>
      </text>
    </comment>
    <comment authorId="0" ref="I187">
      <text>
        <t xml:space="preserve">Capital e interés pactados. La última cuota ajusta el saldo por redondeo.</t>
      </text>
    </comment>
    <comment authorId="0" ref="J187">
      <text>
        <t xml:space="preserve">Capital amortizado TEÓRICO = cuota base − interés, limitado al saldo.</t>
      </text>
    </comment>
    <comment authorId="0" ref="K187">
      <text>
        <t xml:space="preserve">Seguro y otros cargos fijos del mes.</t>
      </text>
    </comment>
    <comment authorId="0" ref="L187">
      <text>
        <t xml:space="preserve">Cuota base + cargos.</t>
      </text>
    </comment>
    <comment authorId="0" ref="M187">
      <text>
        <t xml:space="preserve">Capital final del calendario teórico. No equivale al saldo real si hay pagos parciales o atrasos.</t>
      </text>
    </comment>
    <comment authorId="0" ref="N187">
      <text>
        <t xml:space="preserve">Suma de pagos válidos del mismo ID y cuota con fecha igual o anterior al corte.</t>
      </text>
    </comment>
    <comment authorId="0" ref="O187">
      <text>
        <t xml:space="preserve">MIN(amortización pactada; MAX(0; pagado − cargos − interés)). No imputa excedentes a otras cuotas.</t>
      </text>
    </comment>
    <comment authorId="0" ref="P187">
      <text>
        <t xml:space="preserve">MAX(0; total pactado − pagado a esta cuota). Incluye capital, interés y cargos pendientes de ESA cuota.</t>
      </text>
    </comment>
    <comment authorId="0" ref="Q187">
      <text>
        <t xml:space="preserve">Días desde vencimiento hasta corte, solo si venció antes del corte y sigue con saldo.</t>
      </text>
    </comment>
    <comment authorId="0" ref="R187">
      <text>
        <t xml:space="preserve">MAX(0; pagado − cuota pactada). Exceso para revisar: no se traspasa a otra cuota.</t>
      </text>
    </comment>
    <comment authorId="0" ref="S187">
      <text>
        <t xml:space="preserve">Pagada, Vencida, Vence hoy, Por vencer o Exceso sin imputar según fecha y saldo al corte.</t>
      </text>
    </comment>
    <comment authorId="0" ref="T187">
      <text>
        <t xml:space="preserve">Auxiliar para encontrar la primera cuota pendiente. El 999999 indica que esta cuota no tiene saldo pendiente o está fuera del plazo, y no es una fecha real.</t>
      </text>
    </comment>
    <comment authorId="0" ref="C188">
      <text>
        <t xml:space="preserve">Crédito al que corresponde esta cuota.</t>
      </text>
    </comment>
    <comment authorId="0" ref="D188">
      <text>
        <t xml:space="preserve">Número de cuota dentro del crédito.</t>
      </text>
    </comment>
    <comment authorId="0" ref="E188">
      <text>
        <t xml:space="preserve">Fecha según EDATE a partir del primer vencimiento. No ajusta automáticamente feriados.</t>
      </text>
    </comment>
    <comment authorId="0" ref="F188">
      <text>
        <t xml:space="preserve">Capital al inicio del período en el calendario ORIGINAL, sin recalcular por pagos reales.</t>
      </text>
    </comment>
    <comment authorId="0" ref="G188">
      <text>
        <t xml:space="preserve">Tasa efectiva del mes según la base ingresada.</t>
      </text>
    </comment>
    <comment authorId="0" ref="H188">
      <text>
        <t xml:space="preserve">Interés del período = capital inicial × tasa mensual, redondeado a dos decimales.</t>
      </text>
    </comment>
    <comment authorId="0" ref="I188">
      <text>
        <t xml:space="preserve">Capital e interés pactados. La última cuota ajusta el saldo por redondeo.</t>
      </text>
    </comment>
    <comment authorId="0" ref="J188">
      <text>
        <t xml:space="preserve">Capital amortizado TEÓRICO = cuota base − interés, limitado al saldo.</t>
      </text>
    </comment>
    <comment authorId="0" ref="K188">
      <text>
        <t xml:space="preserve">Seguro y otros cargos fijos del mes.</t>
      </text>
    </comment>
    <comment authorId="0" ref="L188">
      <text>
        <t xml:space="preserve">Cuota base + cargos.</t>
      </text>
    </comment>
    <comment authorId="0" ref="M188">
      <text>
        <t xml:space="preserve">Capital final del calendario teórico. No equivale al saldo real si hay pagos parciales o atrasos.</t>
      </text>
    </comment>
    <comment authorId="0" ref="N188">
      <text>
        <t xml:space="preserve">Suma de pagos válidos del mismo ID y cuota con fecha igual o anterior al corte.</t>
      </text>
    </comment>
    <comment authorId="0" ref="O188">
      <text>
        <t xml:space="preserve">MIN(amortización pactada; MAX(0; pagado − cargos − interés)). No imputa excedentes a otras cuotas.</t>
      </text>
    </comment>
    <comment authorId="0" ref="P188">
      <text>
        <t xml:space="preserve">MAX(0; total pactado − pagado a esta cuota). Incluye capital, interés y cargos pendientes de ESA cuota.</t>
      </text>
    </comment>
    <comment authorId="0" ref="Q188">
      <text>
        <t xml:space="preserve">Días desde vencimiento hasta corte, solo si venció antes del corte y sigue con saldo.</t>
      </text>
    </comment>
    <comment authorId="0" ref="R188">
      <text>
        <t xml:space="preserve">MAX(0; pagado − cuota pactada). Exceso para revisar: no se traspasa a otra cuota.</t>
      </text>
    </comment>
    <comment authorId="0" ref="S188">
      <text>
        <t xml:space="preserve">Pagada, Vencida, Vence hoy, Por vencer o Exceso sin imputar según fecha y saldo al corte.</t>
      </text>
    </comment>
    <comment authorId="0" ref="T188">
      <text>
        <t xml:space="preserve">Auxiliar para encontrar la primera cuota pendiente. El 999999 indica que esta cuota no tiene saldo pendiente o está fuera del plazo, y no es una fecha real.</t>
      </text>
    </comment>
    <comment authorId="0" ref="C189">
      <text>
        <t xml:space="preserve">Crédito al que corresponde esta cuota.</t>
      </text>
    </comment>
    <comment authorId="0" ref="D189">
      <text>
        <t xml:space="preserve">Número de cuota dentro del crédito.</t>
      </text>
    </comment>
    <comment authorId="0" ref="E189">
      <text>
        <t xml:space="preserve">Fecha según EDATE a partir del primer vencimiento. No ajusta automáticamente feriados.</t>
      </text>
    </comment>
    <comment authorId="0" ref="F189">
      <text>
        <t xml:space="preserve">Capital al inicio del período en el calendario ORIGINAL, sin recalcular por pagos reales.</t>
      </text>
    </comment>
    <comment authorId="0" ref="G189">
      <text>
        <t xml:space="preserve">Tasa efectiva del mes según la base ingresada.</t>
      </text>
    </comment>
    <comment authorId="0" ref="H189">
      <text>
        <t xml:space="preserve">Interés del período = capital inicial × tasa mensual, redondeado a dos decimales.</t>
      </text>
    </comment>
    <comment authorId="0" ref="I189">
      <text>
        <t xml:space="preserve">Capital e interés pactados. La última cuota ajusta el saldo por redondeo.</t>
      </text>
    </comment>
    <comment authorId="0" ref="J189">
      <text>
        <t xml:space="preserve">Capital amortizado TEÓRICO = cuota base − interés, limitado al saldo.</t>
      </text>
    </comment>
    <comment authorId="0" ref="K189">
      <text>
        <t xml:space="preserve">Seguro y otros cargos fijos del mes.</t>
      </text>
    </comment>
    <comment authorId="0" ref="L189">
      <text>
        <t xml:space="preserve">Cuota base + cargos.</t>
      </text>
    </comment>
    <comment authorId="0" ref="M189">
      <text>
        <t xml:space="preserve">Capital final del calendario teórico. No equivale al saldo real si hay pagos parciales o atrasos.</t>
      </text>
    </comment>
    <comment authorId="0" ref="N189">
      <text>
        <t xml:space="preserve">Suma de pagos válidos del mismo ID y cuota con fecha igual o anterior al corte.</t>
      </text>
    </comment>
    <comment authorId="0" ref="O189">
      <text>
        <t xml:space="preserve">MIN(amortización pactada; MAX(0; pagado − cargos − interés)). No imputa excedentes a otras cuotas.</t>
      </text>
    </comment>
    <comment authorId="0" ref="P189">
      <text>
        <t xml:space="preserve">MAX(0; total pactado − pagado a esta cuota). Incluye capital, interés y cargos pendientes de ESA cuota.</t>
      </text>
    </comment>
    <comment authorId="0" ref="Q189">
      <text>
        <t xml:space="preserve">Días desde vencimiento hasta corte, solo si venció antes del corte y sigue con saldo.</t>
      </text>
    </comment>
    <comment authorId="0" ref="R189">
      <text>
        <t xml:space="preserve">MAX(0; pagado − cuota pactada). Exceso para revisar: no se traspasa a otra cuota.</t>
      </text>
    </comment>
    <comment authorId="0" ref="S189">
      <text>
        <t xml:space="preserve">Pagada, Vencida, Vence hoy, Por vencer o Exceso sin imputar según fecha y saldo al corte.</t>
      </text>
    </comment>
    <comment authorId="0" ref="T189">
      <text>
        <t xml:space="preserve">Auxiliar para encontrar la primera cuota pendiente. El 999999 indica que esta cuota no tiene saldo pendiente o está fuera del plazo, y no es una fecha real.</t>
      </text>
    </comment>
    <comment authorId="0" ref="C190">
      <text>
        <t xml:space="preserve">Crédito al que corresponde esta cuota.</t>
      </text>
    </comment>
    <comment authorId="0" ref="D190">
      <text>
        <t xml:space="preserve">Número de cuota dentro del crédito.</t>
      </text>
    </comment>
    <comment authorId="0" ref="E190">
      <text>
        <t xml:space="preserve">Fecha según EDATE a partir del primer vencimiento. No ajusta automáticamente feriados.</t>
      </text>
    </comment>
    <comment authorId="0" ref="F190">
      <text>
        <t xml:space="preserve">Capital al inicio del período en el calendario ORIGINAL, sin recalcular por pagos reales.</t>
      </text>
    </comment>
    <comment authorId="0" ref="G190">
      <text>
        <t xml:space="preserve">Tasa efectiva del mes según la base ingresada.</t>
      </text>
    </comment>
    <comment authorId="0" ref="H190">
      <text>
        <t xml:space="preserve">Interés del período = capital inicial × tasa mensual, redondeado a dos decimales.</t>
      </text>
    </comment>
    <comment authorId="0" ref="I190">
      <text>
        <t xml:space="preserve">Capital e interés pactados. La última cuota ajusta el saldo por redondeo.</t>
      </text>
    </comment>
    <comment authorId="0" ref="J190">
      <text>
        <t xml:space="preserve">Capital amortizado TEÓRICO = cuota base − interés, limitado al saldo.</t>
      </text>
    </comment>
    <comment authorId="0" ref="K190">
      <text>
        <t xml:space="preserve">Seguro y otros cargos fijos del mes.</t>
      </text>
    </comment>
    <comment authorId="0" ref="L190">
      <text>
        <t xml:space="preserve">Cuota base + cargos.</t>
      </text>
    </comment>
    <comment authorId="0" ref="M190">
      <text>
        <t xml:space="preserve">Capital final del calendario teórico. No equivale al saldo real si hay pagos parciales o atrasos.</t>
      </text>
    </comment>
    <comment authorId="0" ref="N190">
      <text>
        <t xml:space="preserve">Suma de pagos válidos del mismo ID y cuota con fecha igual o anterior al corte.</t>
      </text>
    </comment>
    <comment authorId="0" ref="O190">
      <text>
        <t xml:space="preserve">MIN(amortización pactada; MAX(0; pagado − cargos − interés)). No imputa excedentes a otras cuotas.</t>
      </text>
    </comment>
    <comment authorId="0" ref="P190">
      <text>
        <t xml:space="preserve">MAX(0; total pactado − pagado a esta cuota). Incluye capital, interés y cargos pendientes de ESA cuota.</t>
      </text>
    </comment>
    <comment authorId="0" ref="Q190">
      <text>
        <t xml:space="preserve">Días desde vencimiento hasta corte, solo si venció antes del corte y sigue con saldo.</t>
      </text>
    </comment>
    <comment authorId="0" ref="R190">
      <text>
        <t xml:space="preserve">MAX(0; pagado − cuota pactada). Exceso para revisar: no se traspasa a otra cuota.</t>
      </text>
    </comment>
    <comment authorId="0" ref="S190">
      <text>
        <t xml:space="preserve">Pagada, Vencida, Vence hoy, Por vencer o Exceso sin imputar según fecha y saldo al corte.</t>
      </text>
    </comment>
    <comment authorId="0" ref="T190">
      <text>
        <t xml:space="preserve">Auxiliar para encontrar la primera cuota pendiente. El 999999 indica que esta cuota no tiene saldo pendiente o está fuera del plazo, y no es una fecha real.</t>
      </text>
    </comment>
    <comment authorId="0" ref="C191">
      <text>
        <t xml:space="preserve">Crédito al que corresponde esta cuota.</t>
      </text>
    </comment>
    <comment authorId="0" ref="D191">
      <text>
        <t xml:space="preserve">Número de cuota dentro del crédito.</t>
      </text>
    </comment>
    <comment authorId="0" ref="E191">
      <text>
        <t xml:space="preserve">Fecha según EDATE a partir del primer vencimiento. No ajusta automáticamente feriados.</t>
      </text>
    </comment>
    <comment authorId="0" ref="F191">
      <text>
        <t xml:space="preserve">Capital al inicio del período en el calendario ORIGINAL, sin recalcular por pagos reales.</t>
      </text>
    </comment>
    <comment authorId="0" ref="G191">
      <text>
        <t xml:space="preserve">Tasa efectiva del mes según la base ingresada.</t>
      </text>
    </comment>
    <comment authorId="0" ref="H191">
      <text>
        <t xml:space="preserve">Interés del período = capital inicial × tasa mensual, redondeado a dos decimales.</t>
      </text>
    </comment>
    <comment authorId="0" ref="I191">
      <text>
        <t xml:space="preserve">Capital e interés pactados. La última cuota ajusta el saldo por redondeo.</t>
      </text>
    </comment>
    <comment authorId="0" ref="J191">
      <text>
        <t xml:space="preserve">Capital amortizado TEÓRICO = cuota base − interés, limitado al saldo.</t>
      </text>
    </comment>
    <comment authorId="0" ref="K191">
      <text>
        <t xml:space="preserve">Seguro y otros cargos fijos del mes.</t>
      </text>
    </comment>
    <comment authorId="0" ref="L191">
      <text>
        <t xml:space="preserve">Cuota base + cargos.</t>
      </text>
    </comment>
    <comment authorId="0" ref="M191">
      <text>
        <t xml:space="preserve">Capital final del calendario teórico. No equivale al saldo real si hay pagos parciales o atrasos.</t>
      </text>
    </comment>
    <comment authorId="0" ref="N191">
      <text>
        <t xml:space="preserve">Suma de pagos válidos del mismo ID y cuota con fecha igual o anterior al corte.</t>
      </text>
    </comment>
    <comment authorId="0" ref="O191">
      <text>
        <t xml:space="preserve">MIN(amortización pactada; MAX(0; pagado − cargos − interés)). No imputa excedentes a otras cuotas.</t>
      </text>
    </comment>
    <comment authorId="0" ref="P191">
      <text>
        <t xml:space="preserve">MAX(0; total pactado − pagado a esta cuota). Incluye capital, interés y cargos pendientes de ESA cuota.</t>
      </text>
    </comment>
    <comment authorId="0" ref="Q191">
      <text>
        <t xml:space="preserve">Días desde vencimiento hasta corte, solo si venció antes del corte y sigue con saldo.</t>
      </text>
    </comment>
    <comment authorId="0" ref="R191">
      <text>
        <t xml:space="preserve">MAX(0; pagado − cuota pactada). Exceso para revisar: no se traspasa a otra cuota.</t>
      </text>
    </comment>
    <comment authorId="0" ref="S191">
      <text>
        <t xml:space="preserve">Pagada, Vencida, Vence hoy, Por vencer o Exceso sin imputar según fecha y saldo al corte.</t>
      </text>
    </comment>
    <comment authorId="0" ref="T191">
      <text>
        <t xml:space="preserve">Auxiliar para encontrar la primera cuota pendiente. El 999999 indica que esta cuota no tiene saldo pendiente o está fuera del plazo, y no es una fecha real.</t>
      </text>
    </comment>
    <comment authorId="0" ref="C192">
      <text>
        <t xml:space="preserve">Crédito al que corresponde esta cuota.</t>
      </text>
    </comment>
    <comment authorId="0" ref="D192">
      <text>
        <t xml:space="preserve">Número de cuota dentro del crédito.</t>
      </text>
    </comment>
    <comment authorId="0" ref="E192">
      <text>
        <t xml:space="preserve">Fecha según EDATE a partir del primer vencimiento. No ajusta automáticamente feriados.</t>
      </text>
    </comment>
    <comment authorId="0" ref="F192">
      <text>
        <t xml:space="preserve">Capital al inicio del período en el calendario ORIGINAL, sin recalcular por pagos reales.</t>
      </text>
    </comment>
    <comment authorId="0" ref="G192">
      <text>
        <t xml:space="preserve">Tasa efectiva del mes según la base ingresada.</t>
      </text>
    </comment>
    <comment authorId="0" ref="H192">
      <text>
        <t xml:space="preserve">Interés del período = capital inicial × tasa mensual, redondeado a dos decimales.</t>
      </text>
    </comment>
    <comment authorId="0" ref="I192">
      <text>
        <t xml:space="preserve">Capital e interés pactados. La última cuota ajusta el saldo por redondeo.</t>
      </text>
    </comment>
    <comment authorId="0" ref="J192">
      <text>
        <t xml:space="preserve">Capital amortizado TEÓRICO = cuota base − interés, limitado al saldo.</t>
      </text>
    </comment>
    <comment authorId="0" ref="K192">
      <text>
        <t xml:space="preserve">Seguro y otros cargos fijos del mes.</t>
      </text>
    </comment>
    <comment authorId="0" ref="L192">
      <text>
        <t xml:space="preserve">Cuota base + cargos.</t>
      </text>
    </comment>
    <comment authorId="0" ref="M192">
      <text>
        <t xml:space="preserve">Capital final del calendario teórico. No equivale al saldo real si hay pagos parciales o atrasos.</t>
      </text>
    </comment>
    <comment authorId="0" ref="N192">
      <text>
        <t xml:space="preserve">Suma de pagos válidos del mismo ID y cuota con fecha igual o anterior al corte.</t>
      </text>
    </comment>
    <comment authorId="0" ref="O192">
      <text>
        <t xml:space="preserve">MIN(amortización pactada; MAX(0; pagado − cargos − interés)). No imputa excedentes a otras cuotas.</t>
      </text>
    </comment>
    <comment authorId="0" ref="P192">
      <text>
        <t xml:space="preserve">MAX(0; total pactado − pagado a esta cuota). Incluye capital, interés y cargos pendientes de ESA cuota.</t>
      </text>
    </comment>
    <comment authorId="0" ref="Q192">
      <text>
        <t xml:space="preserve">Días desde vencimiento hasta corte, solo si venció antes del corte y sigue con saldo.</t>
      </text>
    </comment>
    <comment authorId="0" ref="R192">
      <text>
        <t xml:space="preserve">MAX(0; pagado − cuota pactada). Exceso para revisar: no se traspasa a otra cuota.</t>
      </text>
    </comment>
    <comment authorId="0" ref="S192">
      <text>
        <t xml:space="preserve">Pagada, Vencida, Vence hoy, Por vencer o Exceso sin imputar según fecha y saldo al corte.</t>
      </text>
    </comment>
    <comment authorId="0" ref="T192">
      <text>
        <t xml:space="preserve">Auxiliar para encontrar la primera cuota pendiente. El 999999 indica que esta cuota no tiene saldo pendiente o está fuera del plazo, y no es una fecha real.</t>
      </text>
    </comment>
    <comment authorId="0" ref="C193">
      <text>
        <t xml:space="preserve">Crédito al que corresponde esta cuota.</t>
      </text>
    </comment>
    <comment authorId="0" ref="D193">
      <text>
        <t xml:space="preserve">Número de cuota dentro del crédito.</t>
      </text>
    </comment>
    <comment authorId="0" ref="E193">
      <text>
        <t xml:space="preserve">Fecha según EDATE a partir del primer vencimiento. No ajusta automáticamente feriados.</t>
      </text>
    </comment>
    <comment authorId="0" ref="F193">
      <text>
        <t xml:space="preserve">Capital al inicio del período en el calendario ORIGINAL, sin recalcular por pagos reales.</t>
      </text>
    </comment>
    <comment authorId="0" ref="G193">
      <text>
        <t xml:space="preserve">Tasa efectiva del mes según la base ingresada.</t>
      </text>
    </comment>
    <comment authorId="0" ref="H193">
      <text>
        <t xml:space="preserve">Interés del período = capital inicial × tasa mensual, redondeado a dos decimales.</t>
      </text>
    </comment>
    <comment authorId="0" ref="I193">
      <text>
        <t xml:space="preserve">Capital e interés pactados. La última cuota ajusta el saldo por redondeo.</t>
      </text>
    </comment>
    <comment authorId="0" ref="J193">
      <text>
        <t xml:space="preserve">Capital amortizado TEÓRICO = cuota base − interés, limitado al saldo.</t>
      </text>
    </comment>
    <comment authorId="0" ref="K193">
      <text>
        <t xml:space="preserve">Seguro y otros cargos fijos del mes.</t>
      </text>
    </comment>
    <comment authorId="0" ref="L193">
      <text>
        <t xml:space="preserve">Cuota base + cargos.</t>
      </text>
    </comment>
    <comment authorId="0" ref="M193">
      <text>
        <t xml:space="preserve">Capital final del calendario teórico. No equivale al saldo real si hay pagos parciales o atrasos.</t>
      </text>
    </comment>
    <comment authorId="0" ref="N193">
      <text>
        <t xml:space="preserve">Suma de pagos válidos del mismo ID y cuota con fecha igual o anterior al corte.</t>
      </text>
    </comment>
    <comment authorId="0" ref="O193">
      <text>
        <t xml:space="preserve">MIN(amortización pactada; MAX(0; pagado − cargos − interés)). No imputa excedentes a otras cuotas.</t>
      </text>
    </comment>
    <comment authorId="0" ref="P193">
      <text>
        <t xml:space="preserve">MAX(0; total pactado − pagado a esta cuota). Incluye capital, interés y cargos pendientes de ESA cuota.</t>
      </text>
    </comment>
    <comment authorId="0" ref="Q193">
      <text>
        <t xml:space="preserve">Días desde vencimiento hasta corte, solo si venció antes del corte y sigue con saldo.</t>
      </text>
    </comment>
    <comment authorId="0" ref="R193">
      <text>
        <t xml:space="preserve">MAX(0; pagado − cuota pactada). Exceso para revisar: no se traspasa a otra cuota.</t>
      </text>
    </comment>
    <comment authorId="0" ref="S193">
      <text>
        <t xml:space="preserve">Pagada, Vencida, Vence hoy, Por vencer o Exceso sin imputar según fecha y saldo al corte.</t>
      </text>
    </comment>
    <comment authorId="0" ref="T193">
      <text>
        <t xml:space="preserve">Auxiliar para encontrar la primera cuota pendiente. El 999999 indica que esta cuota no tiene saldo pendiente o está fuera del plazo, y no es una fecha real.</t>
      </text>
    </comment>
    <comment authorId="0" ref="C194">
      <text>
        <t xml:space="preserve">Crédito al que corresponde esta cuota.</t>
      </text>
    </comment>
    <comment authorId="0" ref="D194">
      <text>
        <t xml:space="preserve">Número de cuota dentro del crédito.</t>
      </text>
    </comment>
    <comment authorId="0" ref="E194">
      <text>
        <t xml:space="preserve">Fecha según EDATE a partir del primer vencimiento. No ajusta automáticamente feriados.</t>
      </text>
    </comment>
    <comment authorId="0" ref="F194">
      <text>
        <t xml:space="preserve">Capital al inicio del período en el calendario ORIGINAL, sin recalcular por pagos reales.</t>
      </text>
    </comment>
    <comment authorId="0" ref="G194">
      <text>
        <t xml:space="preserve">Tasa efectiva del mes según la base ingresada.</t>
      </text>
    </comment>
    <comment authorId="0" ref="H194">
      <text>
        <t xml:space="preserve">Interés del período = capital inicial × tasa mensual, redondeado a dos decimales.</t>
      </text>
    </comment>
    <comment authorId="0" ref="I194">
      <text>
        <t xml:space="preserve">Capital e interés pactados. La última cuota ajusta el saldo por redondeo.</t>
      </text>
    </comment>
    <comment authorId="0" ref="J194">
      <text>
        <t xml:space="preserve">Capital amortizado TEÓRICO = cuota base − interés, limitado al saldo.</t>
      </text>
    </comment>
    <comment authorId="0" ref="K194">
      <text>
        <t xml:space="preserve">Seguro y otros cargos fijos del mes.</t>
      </text>
    </comment>
    <comment authorId="0" ref="L194">
      <text>
        <t xml:space="preserve">Cuota base + cargos.</t>
      </text>
    </comment>
    <comment authorId="0" ref="M194">
      <text>
        <t xml:space="preserve">Capital final del calendario teórico. No equivale al saldo real si hay pagos parciales o atrasos.</t>
      </text>
    </comment>
    <comment authorId="0" ref="N194">
      <text>
        <t xml:space="preserve">Suma de pagos válidos del mismo ID y cuota con fecha igual o anterior al corte.</t>
      </text>
    </comment>
    <comment authorId="0" ref="O194">
      <text>
        <t xml:space="preserve">MIN(amortización pactada; MAX(0; pagado − cargos − interés)). No imputa excedentes a otras cuotas.</t>
      </text>
    </comment>
    <comment authorId="0" ref="P194">
      <text>
        <t xml:space="preserve">MAX(0; total pactado − pagado a esta cuota). Incluye capital, interés y cargos pendientes de ESA cuota.</t>
      </text>
    </comment>
    <comment authorId="0" ref="Q194">
      <text>
        <t xml:space="preserve">Días desde vencimiento hasta corte, solo si venció antes del corte y sigue con saldo.</t>
      </text>
    </comment>
    <comment authorId="0" ref="R194">
      <text>
        <t xml:space="preserve">MAX(0; pagado − cuota pactada). Exceso para revisar: no se traspasa a otra cuota.</t>
      </text>
    </comment>
    <comment authorId="0" ref="S194">
      <text>
        <t xml:space="preserve">Pagada, Vencida, Vence hoy, Por vencer o Exceso sin imputar según fecha y saldo al corte.</t>
      </text>
    </comment>
    <comment authorId="0" ref="T194">
      <text>
        <t xml:space="preserve">Auxiliar para encontrar la primera cuota pendiente. El 999999 indica que esta cuota no tiene saldo pendiente o está fuera del plazo, y no es una fecha real.</t>
      </text>
    </comment>
    <comment authorId="0" ref="C195">
      <text>
        <t xml:space="preserve">Crédito al que corresponde esta cuota.</t>
      </text>
    </comment>
    <comment authorId="0" ref="D195">
      <text>
        <t xml:space="preserve">Número de cuota dentro del crédito.</t>
      </text>
    </comment>
    <comment authorId="0" ref="E195">
      <text>
        <t xml:space="preserve">Fecha según EDATE a partir del primer vencimiento. No ajusta automáticamente feriados.</t>
      </text>
    </comment>
    <comment authorId="0" ref="F195">
      <text>
        <t xml:space="preserve">Capital al inicio del período en el calendario ORIGINAL, sin recalcular por pagos reales.</t>
      </text>
    </comment>
    <comment authorId="0" ref="G195">
      <text>
        <t xml:space="preserve">Tasa efectiva del mes según la base ingresada.</t>
      </text>
    </comment>
    <comment authorId="0" ref="H195">
      <text>
        <t xml:space="preserve">Interés del período = capital inicial × tasa mensual, redondeado a dos decimales.</t>
      </text>
    </comment>
    <comment authorId="0" ref="I195">
      <text>
        <t xml:space="preserve">Capital e interés pactados. La última cuota ajusta el saldo por redondeo.</t>
      </text>
    </comment>
    <comment authorId="0" ref="J195">
      <text>
        <t xml:space="preserve">Capital amortizado TEÓRICO = cuota base − interés, limitado al saldo.</t>
      </text>
    </comment>
    <comment authorId="0" ref="K195">
      <text>
        <t xml:space="preserve">Seguro y otros cargos fijos del mes.</t>
      </text>
    </comment>
    <comment authorId="0" ref="L195">
      <text>
        <t xml:space="preserve">Cuota base + cargos.</t>
      </text>
    </comment>
    <comment authorId="0" ref="M195">
      <text>
        <t xml:space="preserve">Capital final del calendario teórico. No equivale al saldo real si hay pagos parciales o atrasos.</t>
      </text>
    </comment>
    <comment authorId="0" ref="N195">
      <text>
        <t xml:space="preserve">Suma de pagos válidos del mismo ID y cuota con fecha igual o anterior al corte.</t>
      </text>
    </comment>
    <comment authorId="0" ref="O195">
      <text>
        <t xml:space="preserve">MIN(amortización pactada; MAX(0; pagado − cargos − interés)). No imputa excedentes a otras cuotas.</t>
      </text>
    </comment>
    <comment authorId="0" ref="P195">
      <text>
        <t xml:space="preserve">MAX(0; total pactado − pagado a esta cuota). Incluye capital, interés y cargos pendientes de ESA cuota.</t>
      </text>
    </comment>
    <comment authorId="0" ref="Q195">
      <text>
        <t xml:space="preserve">Días desde vencimiento hasta corte, solo si venció antes del corte y sigue con saldo.</t>
      </text>
    </comment>
    <comment authorId="0" ref="R195">
      <text>
        <t xml:space="preserve">MAX(0; pagado − cuota pactada). Exceso para revisar: no se traspasa a otra cuota.</t>
      </text>
    </comment>
    <comment authorId="0" ref="S195">
      <text>
        <t xml:space="preserve">Pagada, Vencida, Vence hoy, Por vencer o Exceso sin imputar según fecha y saldo al corte.</t>
      </text>
    </comment>
    <comment authorId="0" ref="T195">
      <text>
        <t xml:space="preserve">Auxiliar para encontrar la primera cuota pendiente. El 999999 indica que esta cuota no tiene saldo pendiente o está fuera del plazo, y no es una fecha real.</t>
      </text>
    </comment>
    <comment authorId="0" ref="C196">
      <text>
        <t xml:space="preserve">Crédito al que corresponde esta cuota.</t>
      </text>
    </comment>
    <comment authorId="0" ref="D196">
      <text>
        <t xml:space="preserve">Número de cuota dentro del crédito.</t>
      </text>
    </comment>
    <comment authorId="0" ref="E196">
      <text>
        <t xml:space="preserve">Fecha según EDATE a partir del primer vencimiento. No ajusta automáticamente feriados.</t>
      </text>
    </comment>
    <comment authorId="0" ref="F196">
      <text>
        <t xml:space="preserve">Capital al inicio del período en el calendario ORIGINAL, sin recalcular por pagos reales.</t>
      </text>
    </comment>
    <comment authorId="0" ref="G196">
      <text>
        <t xml:space="preserve">Tasa efectiva del mes según la base ingresada.</t>
      </text>
    </comment>
    <comment authorId="0" ref="H196">
      <text>
        <t xml:space="preserve">Interés del período = capital inicial × tasa mensual, redondeado a dos decimales.</t>
      </text>
    </comment>
    <comment authorId="0" ref="I196">
      <text>
        <t xml:space="preserve">Capital e interés pactados. La última cuota ajusta el saldo por redondeo.</t>
      </text>
    </comment>
    <comment authorId="0" ref="J196">
      <text>
        <t xml:space="preserve">Capital amortizado TEÓRICO = cuota base − interés, limitado al saldo.</t>
      </text>
    </comment>
    <comment authorId="0" ref="K196">
      <text>
        <t xml:space="preserve">Seguro y otros cargos fijos del mes.</t>
      </text>
    </comment>
    <comment authorId="0" ref="L196">
      <text>
        <t xml:space="preserve">Cuota base + cargos.</t>
      </text>
    </comment>
    <comment authorId="0" ref="M196">
      <text>
        <t xml:space="preserve">Capital final del calendario teórico. No equivale al saldo real si hay pagos parciales o atrasos.</t>
      </text>
    </comment>
    <comment authorId="0" ref="N196">
      <text>
        <t xml:space="preserve">Suma de pagos válidos del mismo ID y cuota con fecha igual o anterior al corte.</t>
      </text>
    </comment>
    <comment authorId="0" ref="O196">
      <text>
        <t xml:space="preserve">MIN(amortización pactada; MAX(0; pagado − cargos − interés)). No imputa excedentes a otras cuotas.</t>
      </text>
    </comment>
    <comment authorId="0" ref="P196">
      <text>
        <t xml:space="preserve">MAX(0; total pactado − pagado a esta cuota). Incluye capital, interés y cargos pendientes de ESA cuota.</t>
      </text>
    </comment>
    <comment authorId="0" ref="Q196">
      <text>
        <t xml:space="preserve">Días desde vencimiento hasta corte, solo si venció antes del corte y sigue con saldo.</t>
      </text>
    </comment>
    <comment authorId="0" ref="R196">
      <text>
        <t xml:space="preserve">MAX(0; pagado − cuota pactada). Exceso para revisar: no se traspasa a otra cuota.</t>
      </text>
    </comment>
    <comment authorId="0" ref="S196">
      <text>
        <t xml:space="preserve">Pagada, Vencida, Vence hoy, Por vencer o Exceso sin imputar según fecha y saldo al corte.</t>
      </text>
    </comment>
    <comment authorId="0" ref="T196">
      <text>
        <t xml:space="preserve">Auxiliar para encontrar la primera cuota pendiente. El 999999 indica que esta cuota no tiene saldo pendiente o está fuera del plazo, y no es una fecha real.</t>
      </text>
    </comment>
    <comment authorId="0" ref="C197">
      <text>
        <t xml:space="preserve">Crédito al que corresponde esta cuota.</t>
      </text>
    </comment>
    <comment authorId="0" ref="D197">
      <text>
        <t xml:space="preserve">Número de cuota dentro del crédito.</t>
      </text>
    </comment>
    <comment authorId="0" ref="E197">
      <text>
        <t xml:space="preserve">Fecha según EDATE a partir del primer vencimiento. No ajusta automáticamente feriados.</t>
      </text>
    </comment>
    <comment authorId="0" ref="F197">
      <text>
        <t xml:space="preserve">Capital al inicio del período en el calendario ORIGINAL, sin recalcular por pagos reales.</t>
      </text>
    </comment>
    <comment authorId="0" ref="G197">
      <text>
        <t xml:space="preserve">Tasa efectiva del mes según la base ingresada.</t>
      </text>
    </comment>
    <comment authorId="0" ref="H197">
      <text>
        <t xml:space="preserve">Interés del período = capital inicial × tasa mensual, redondeado a dos decimales.</t>
      </text>
    </comment>
    <comment authorId="0" ref="I197">
      <text>
        <t xml:space="preserve">Capital e interés pactados. La última cuota ajusta el saldo por redondeo.</t>
      </text>
    </comment>
    <comment authorId="0" ref="J197">
      <text>
        <t xml:space="preserve">Capital amortizado TEÓRICO = cuota base − interés, limitado al saldo.</t>
      </text>
    </comment>
    <comment authorId="0" ref="K197">
      <text>
        <t xml:space="preserve">Seguro y otros cargos fijos del mes.</t>
      </text>
    </comment>
    <comment authorId="0" ref="L197">
      <text>
        <t xml:space="preserve">Cuota base + cargos.</t>
      </text>
    </comment>
    <comment authorId="0" ref="M197">
      <text>
        <t xml:space="preserve">Capital final del calendario teórico. No equivale al saldo real si hay pagos parciales o atrasos.</t>
      </text>
    </comment>
    <comment authorId="0" ref="N197">
      <text>
        <t xml:space="preserve">Suma de pagos válidos del mismo ID y cuota con fecha igual o anterior al corte.</t>
      </text>
    </comment>
    <comment authorId="0" ref="O197">
      <text>
        <t xml:space="preserve">MIN(amortización pactada; MAX(0; pagado − cargos − interés)). No imputa excedentes a otras cuotas.</t>
      </text>
    </comment>
    <comment authorId="0" ref="P197">
      <text>
        <t xml:space="preserve">MAX(0; total pactado − pagado a esta cuota). Incluye capital, interés y cargos pendientes de ESA cuota.</t>
      </text>
    </comment>
    <comment authorId="0" ref="Q197">
      <text>
        <t xml:space="preserve">Días desde vencimiento hasta corte, solo si venció antes del corte y sigue con saldo.</t>
      </text>
    </comment>
    <comment authorId="0" ref="R197">
      <text>
        <t xml:space="preserve">MAX(0; pagado − cuota pactada). Exceso para revisar: no se traspasa a otra cuota.</t>
      </text>
    </comment>
    <comment authorId="0" ref="S197">
      <text>
        <t xml:space="preserve">Pagada, Vencida, Vence hoy, Por vencer o Exceso sin imputar según fecha y saldo al corte.</t>
      </text>
    </comment>
    <comment authorId="0" ref="T197">
      <text>
        <t xml:space="preserve">Auxiliar para encontrar la primera cuota pendiente. El 999999 indica que esta cuota no tiene saldo pendiente o está fuera del plazo, y no es una fecha real.</t>
      </text>
    </comment>
    <comment authorId="0" ref="C198">
      <text>
        <t xml:space="preserve">Crédito al que corresponde esta cuota.</t>
      </text>
    </comment>
    <comment authorId="0" ref="D198">
      <text>
        <t xml:space="preserve">Número de cuota dentro del crédito.</t>
      </text>
    </comment>
    <comment authorId="0" ref="E198">
      <text>
        <t xml:space="preserve">Fecha según EDATE a partir del primer vencimiento. No ajusta automáticamente feriados.</t>
      </text>
    </comment>
    <comment authorId="0" ref="F198">
      <text>
        <t xml:space="preserve">Capital al inicio del período en el calendario ORIGINAL, sin recalcular por pagos reales.</t>
      </text>
    </comment>
    <comment authorId="0" ref="G198">
      <text>
        <t xml:space="preserve">Tasa efectiva del mes según la base ingresada.</t>
      </text>
    </comment>
    <comment authorId="0" ref="H198">
      <text>
        <t xml:space="preserve">Interés del período = capital inicial × tasa mensual, redondeado a dos decimales.</t>
      </text>
    </comment>
    <comment authorId="0" ref="I198">
      <text>
        <t xml:space="preserve">Capital e interés pactados. La última cuota ajusta el saldo por redondeo.</t>
      </text>
    </comment>
    <comment authorId="0" ref="J198">
      <text>
        <t xml:space="preserve">Capital amortizado TEÓRICO = cuota base − interés, limitado al saldo.</t>
      </text>
    </comment>
    <comment authorId="0" ref="K198">
      <text>
        <t xml:space="preserve">Seguro y otros cargos fijos del mes.</t>
      </text>
    </comment>
    <comment authorId="0" ref="L198">
      <text>
        <t xml:space="preserve">Cuota base + cargos.</t>
      </text>
    </comment>
    <comment authorId="0" ref="M198">
      <text>
        <t xml:space="preserve">Capital final del calendario teórico. No equivale al saldo real si hay pagos parciales o atrasos.</t>
      </text>
    </comment>
    <comment authorId="0" ref="N198">
      <text>
        <t xml:space="preserve">Suma de pagos válidos del mismo ID y cuota con fecha igual o anterior al corte.</t>
      </text>
    </comment>
    <comment authorId="0" ref="O198">
      <text>
        <t xml:space="preserve">MIN(amortización pactada; MAX(0; pagado − cargos − interés)). No imputa excedentes a otras cuotas.</t>
      </text>
    </comment>
    <comment authorId="0" ref="P198">
      <text>
        <t xml:space="preserve">MAX(0; total pactado − pagado a esta cuota). Incluye capital, interés y cargos pendientes de ESA cuota.</t>
      </text>
    </comment>
    <comment authorId="0" ref="Q198">
      <text>
        <t xml:space="preserve">Días desde vencimiento hasta corte, solo si venció antes del corte y sigue con saldo.</t>
      </text>
    </comment>
    <comment authorId="0" ref="R198">
      <text>
        <t xml:space="preserve">MAX(0; pagado − cuota pactada). Exceso para revisar: no se traspasa a otra cuota.</t>
      </text>
    </comment>
    <comment authorId="0" ref="S198">
      <text>
        <t xml:space="preserve">Pagada, Vencida, Vence hoy, Por vencer o Exceso sin imputar según fecha y saldo al corte.</t>
      </text>
    </comment>
    <comment authorId="0" ref="T198">
      <text>
        <t xml:space="preserve">Auxiliar para encontrar la primera cuota pendiente. El 999999 indica que esta cuota no tiene saldo pendiente o está fuera del plazo, y no es una fecha real.</t>
      </text>
    </comment>
    <comment authorId="0" ref="C199">
      <text>
        <t xml:space="preserve">Crédito al que corresponde esta cuota.</t>
      </text>
    </comment>
    <comment authorId="0" ref="D199">
      <text>
        <t xml:space="preserve">Número de cuota dentro del crédito.</t>
      </text>
    </comment>
    <comment authorId="0" ref="E199">
      <text>
        <t xml:space="preserve">Fecha según EDATE a partir del primer vencimiento. No ajusta automáticamente feriados.</t>
      </text>
    </comment>
    <comment authorId="0" ref="F199">
      <text>
        <t xml:space="preserve">Capital al inicio del período en el calendario ORIGINAL, sin recalcular por pagos reales.</t>
      </text>
    </comment>
    <comment authorId="0" ref="G199">
      <text>
        <t xml:space="preserve">Tasa efectiva del mes según la base ingresada.</t>
      </text>
    </comment>
    <comment authorId="0" ref="H199">
      <text>
        <t xml:space="preserve">Interés del período = capital inicial × tasa mensual, redondeado a dos decimales.</t>
      </text>
    </comment>
    <comment authorId="0" ref="I199">
      <text>
        <t xml:space="preserve">Capital e interés pactados. La última cuota ajusta el saldo por redondeo.</t>
      </text>
    </comment>
    <comment authorId="0" ref="J199">
      <text>
        <t xml:space="preserve">Capital amortizado TEÓRICO = cuota base − interés, limitado al saldo.</t>
      </text>
    </comment>
    <comment authorId="0" ref="K199">
      <text>
        <t xml:space="preserve">Seguro y otros cargos fijos del mes.</t>
      </text>
    </comment>
    <comment authorId="0" ref="L199">
      <text>
        <t xml:space="preserve">Cuota base + cargos.</t>
      </text>
    </comment>
    <comment authorId="0" ref="M199">
      <text>
        <t xml:space="preserve">Capital final del calendario teórico. No equivale al saldo real si hay pagos parciales o atrasos.</t>
      </text>
    </comment>
    <comment authorId="0" ref="N199">
      <text>
        <t xml:space="preserve">Suma de pagos válidos del mismo ID y cuota con fecha igual o anterior al corte.</t>
      </text>
    </comment>
    <comment authorId="0" ref="O199">
      <text>
        <t xml:space="preserve">MIN(amortización pactada; MAX(0; pagado − cargos − interés)). No imputa excedentes a otras cuotas.</t>
      </text>
    </comment>
    <comment authorId="0" ref="P199">
      <text>
        <t xml:space="preserve">MAX(0; total pactado − pagado a esta cuota). Incluye capital, interés y cargos pendientes de ESA cuota.</t>
      </text>
    </comment>
    <comment authorId="0" ref="Q199">
      <text>
        <t xml:space="preserve">Días desde vencimiento hasta corte, solo si venció antes del corte y sigue con saldo.</t>
      </text>
    </comment>
    <comment authorId="0" ref="R199">
      <text>
        <t xml:space="preserve">MAX(0; pagado − cuota pactada). Exceso para revisar: no se traspasa a otra cuota.</t>
      </text>
    </comment>
    <comment authorId="0" ref="S199">
      <text>
        <t xml:space="preserve">Pagada, Vencida, Vence hoy, Por vencer o Exceso sin imputar según fecha y saldo al corte.</t>
      </text>
    </comment>
    <comment authorId="0" ref="T199">
      <text>
        <t xml:space="preserve">Auxiliar para encontrar la primera cuota pendiente. El 999999 indica que esta cuota no tiene saldo pendiente o está fuera del plazo, y no es una fecha real.</t>
      </text>
    </comment>
    <comment authorId="0" ref="C200">
      <text>
        <t xml:space="preserve">Crédito al que corresponde esta cuota.</t>
      </text>
    </comment>
    <comment authorId="0" ref="D200">
      <text>
        <t xml:space="preserve">Número de cuota dentro del crédito.</t>
      </text>
    </comment>
    <comment authorId="0" ref="E200">
      <text>
        <t xml:space="preserve">Fecha según EDATE a partir del primer vencimiento. No ajusta automáticamente feriados.</t>
      </text>
    </comment>
    <comment authorId="0" ref="F200">
      <text>
        <t xml:space="preserve">Capital al inicio del período en el calendario ORIGINAL, sin recalcular por pagos reales.</t>
      </text>
    </comment>
    <comment authorId="0" ref="G200">
      <text>
        <t xml:space="preserve">Tasa efectiva del mes según la base ingresada.</t>
      </text>
    </comment>
    <comment authorId="0" ref="H200">
      <text>
        <t xml:space="preserve">Interés del período = capital inicial × tasa mensual, redondeado a dos decimales.</t>
      </text>
    </comment>
    <comment authorId="0" ref="I200">
      <text>
        <t xml:space="preserve">Capital e interés pactados. La última cuota ajusta el saldo por redondeo.</t>
      </text>
    </comment>
    <comment authorId="0" ref="J200">
      <text>
        <t xml:space="preserve">Capital amortizado TEÓRICO = cuota base − interés, limitado al saldo.</t>
      </text>
    </comment>
    <comment authorId="0" ref="K200">
      <text>
        <t xml:space="preserve">Seguro y otros cargos fijos del mes.</t>
      </text>
    </comment>
    <comment authorId="0" ref="L200">
      <text>
        <t xml:space="preserve">Cuota base + cargos.</t>
      </text>
    </comment>
    <comment authorId="0" ref="M200">
      <text>
        <t xml:space="preserve">Capital final del calendario teórico. No equivale al saldo real si hay pagos parciales o atrasos.</t>
      </text>
    </comment>
    <comment authorId="0" ref="N200">
      <text>
        <t xml:space="preserve">Suma de pagos válidos del mismo ID y cuota con fecha igual o anterior al corte.</t>
      </text>
    </comment>
    <comment authorId="0" ref="O200">
      <text>
        <t xml:space="preserve">MIN(amortización pactada; MAX(0; pagado − cargos − interés)). No imputa excedentes a otras cuotas.</t>
      </text>
    </comment>
    <comment authorId="0" ref="P200">
      <text>
        <t xml:space="preserve">MAX(0; total pactado − pagado a esta cuota). Incluye capital, interés y cargos pendientes de ESA cuota.</t>
      </text>
    </comment>
    <comment authorId="0" ref="Q200">
      <text>
        <t xml:space="preserve">Días desde vencimiento hasta corte, solo si venció antes del corte y sigue con saldo.</t>
      </text>
    </comment>
    <comment authorId="0" ref="R200">
      <text>
        <t xml:space="preserve">MAX(0; pagado − cuota pactada). Exceso para revisar: no se traspasa a otra cuota.</t>
      </text>
    </comment>
    <comment authorId="0" ref="S200">
      <text>
        <t xml:space="preserve">Pagada, Vencida, Vence hoy, Por vencer o Exceso sin imputar según fecha y saldo al corte.</t>
      </text>
    </comment>
    <comment authorId="0" ref="T200">
      <text>
        <t xml:space="preserve">Auxiliar para encontrar la primera cuota pendiente. El 999999 indica que esta cuota no tiene saldo pendiente o está fuera del plazo, y no es una fecha real.</t>
      </text>
    </comment>
    <comment authorId="0" ref="C201">
      <text>
        <t xml:space="preserve">Crédito al que corresponde esta cuota.</t>
      </text>
    </comment>
    <comment authorId="0" ref="D201">
      <text>
        <t xml:space="preserve">Número de cuota dentro del crédito.</t>
      </text>
    </comment>
    <comment authorId="0" ref="E201">
      <text>
        <t xml:space="preserve">Fecha según EDATE a partir del primer vencimiento. No ajusta automáticamente feriados.</t>
      </text>
    </comment>
    <comment authorId="0" ref="F201">
      <text>
        <t xml:space="preserve">Capital al inicio del período en el calendario ORIGINAL, sin recalcular por pagos reales.</t>
      </text>
    </comment>
    <comment authorId="0" ref="G201">
      <text>
        <t xml:space="preserve">Tasa efectiva del mes según la base ingresada.</t>
      </text>
    </comment>
    <comment authorId="0" ref="H201">
      <text>
        <t xml:space="preserve">Interés del período = capital inicial × tasa mensual, redondeado a dos decimales.</t>
      </text>
    </comment>
    <comment authorId="0" ref="I201">
      <text>
        <t xml:space="preserve">Capital e interés pactados. La última cuota ajusta el saldo por redondeo.</t>
      </text>
    </comment>
    <comment authorId="0" ref="J201">
      <text>
        <t xml:space="preserve">Capital amortizado TEÓRICO = cuota base − interés, limitado al saldo.</t>
      </text>
    </comment>
    <comment authorId="0" ref="K201">
      <text>
        <t xml:space="preserve">Seguro y otros cargos fijos del mes.</t>
      </text>
    </comment>
    <comment authorId="0" ref="L201">
      <text>
        <t xml:space="preserve">Cuota base + cargos.</t>
      </text>
    </comment>
    <comment authorId="0" ref="M201">
      <text>
        <t xml:space="preserve">Capital final del calendario teórico. No equivale al saldo real si hay pagos parciales o atrasos.</t>
      </text>
    </comment>
    <comment authorId="0" ref="N201">
      <text>
        <t xml:space="preserve">Suma de pagos válidos del mismo ID y cuota con fecha igual o anterior al corte.</t>
      </text>
    </comment>
    <comment authorId="0" ref="O201">
      <text>
        <t xml:space="preserve">MIN(amortización pactada; MAX(0; pagado − cargos − interés)). No imputa excedentes a otras cuotas.</t>
      </text>
    </comment>
    <comment authorId="0" ref="P201">
      <text>
        <t xml:space="preserve">MAX(0; total pactado − pagado a esta cuota). Incluye capital, interés y cargos pendientes de ESA cuota.</t>
      </text>
    </comment>
    <comment authorId="0" ref="Q201">
      <text>
        <t xml:space="preserve">Días desde vencimiento hasta corte, solo si venció antes del corte y sigue con saldo.</t>
      </text>
    </comment>
    <comment authorId="0" ref="R201">
      <text>
        <t xml:space="preserve">MAX(0; pagado − cuota pactada). Exceso para revisar: no se traspasa a otra cuota.</t>
      </text>
    </comment>
    <comment authorId="0" ref="S201">
      <text>
        <t xml:space="preserve">Pagada, Vencida, Vence hoy, Por vencer o Exceso sin imputar según fecha y saldo al corte.</t>
      </text>
    </comment>
    <comment authorId="0" ref="T201">
      <text>
        <t xml:space="preserve">Auxiliar para encontrar la primera cuota pendiente. El 999999 indica que esta cuota no tiene saldo pendiente o está fuera del plazo, y no es una fecha real.</t>
      </text>
    </comment>
    <comment authorId="0" ref="C202">
      <text>
        <t xml:space="preserve">Crédito al que corresponde esta cuota.</t>
      </text>
    </comment>
    <comment authorId="0" ref="D202">
      <text>
        <t xml:space="preserve">Número de cuota dentro del crédito.</t>
      </text>
    </comment>
    <comment authorId="0" ref="E202">
      <text>
        <t xml:space="preserve">Fecha según EDATE a partir del primer vencimiento. No ajusta automáticamente feriados.</t>
      </text>
    </comment>
    <comment authorId="0" ref="F202">
      <text>
        <t xml:space="preserve">Capital al inicio del período en el calendario ORIGINAL, sin recalcular por pagos reales.</t>
      </text>
    </comment>
    <comment authorId="0" ref="G202">
      <text>
        <t xml:space="preserve">Tasa efectiva del mes según la base ingresada.</t>
      </text>
    </comment>
    <comment authorId="0" ref="H202">
      <text>
        <t xml:space="preserve">Interés del período = capital inicial × tasa mensual, redondeado a dos decimales.</t>
      </text>
    </comment>
    <comment authorId="0" ref="I202">
      <text>
        <t xml:space="preserve">Capital e interés pactados. La última cuota ajusta el saldo por redondeo.</t>
      </text>
    </comment>
    <comment authorId="0" ref="J202">
      <text>
        <t xml:space="preserve">Capital amortizado TEÓRICO = cuota base − interés, limitado al saldo.</t>
      </text>
    </comment>
    <comment authorId="0" ref="K202">
      <text>
        <t xml:space="preserve">Seguro y otros cargos fijos del mes.</t>
      </text>
    </comment>
    <comment authorId="0" ref="L202">
      <text>
        <t xml:space="preserve">Cuota base + cargos.</t>
      </text>
    </comment>
    <comment authorId="0" ref="M202">
      <text>
        <t xml:space="preserve">Capital final del calendario teórico. No equivale al saldo real si hay pagos parciales o atrasos.</t>
      </text>
    </comment>
    <comment authorId="0" ref="N202">
      <text>
        <t xml:space="preserve">Suma de pagos válidos del mismo ID y cuota con fecha igual o anterior al corte.</t>
      </text>
    </comment>
    <comment authorId="0" ref="O202">
      <text>
        <t xml:space="preserve">MIN(amortización pactada; MAX(0; pagado − cargos − interés)). No imputa excedentes a otras cuotas.</t>
      </text>
    </comment>
    <comment authorId="0" ref="P202">
      <text>
        <t xml:space="preserve">MAX(0; total pactado − pagado a esta cuota). Incluye capital, interés y cargos pendientes de ESA cuota.</t>
      </text>
    </comment>
    <comment authorId="0" ref="Q202">
      <text>
        <t xml:space="preserve">Días desde vencimiento hasta corte, solo si venció antes del corte y sigue con saldo.</t>
      </text>
    </comment>
    <comment authorId="0" ref="R202">
      <text>
        <t xml:space="preserve">MAX(0; pagado − cuota pactada). Exceso para revisar: no se traspasa a otra cuota.</t>
      </text>
    </comment>
    <comment authorId="0" ref="S202">
      <text>
        <t xml:space="preserve">Pagada, Vencida, Vence hoy, Por vencer o Exceso sin imputar según fecha y saldo al corte.</t>
      </text>
    </comment>
    <comment authorId="0" ref="T202">
      <text>
        <t xml:space="preserve">Auxiliar para encontrar la primera cuota pendiente. El 999999 indica que esta cuota no tiene saldo pendiente o está fuera del plazo, y no es una fecha real.</t>
      </text>
    </comment>
    <comment authorId="0" ref="C203">
      <text>
        <t xml:space="preserve">Crédito al que corresponde esta cuota.</t>
      </text>
    </comment>
    <comment authorId="0" ref="D203">
      <text>
        <t xml:space="preserve">Número de cuota dentro del crédito.</t>
      </text>
    </comment>
    <comment authorId="0" ref="E203">
      <text>
        <t xml:space="preserve">Fecha según EDATE a partir del primer vencimiento. No ajusta automáticamente feriados.</t>
      </text>
    </comment>
    <comment authorId="0" ref="F203">
      <text>
        <t xml:space="preserve">Capital al inicio del período en el calendario ORIGINAL, sin recalcular por pagos reales.</t>
      </text>
    </comment>
    <comment authorId="0" ref="G203">
      <text>
        <t xml:space="preserve">Tasa efectiva del mes según la base ingresada.</t>
      </text>
    </comment>
    <comment authorId="0" ref="H203">
      <text>
        <t xml:space="preserve">Interés del período = capital inicial × tasa mensual, redondeado a dos decimales.</t>
      </text>
    </comment>
    <comment authorId="0" ref="I203">
      <text>
        <t xml:space="preserve">Capital e interés pactados. La última cuota ajusta el saldo por redondeo.</t>
      </text>
    </comment>
    <comment authorId="0" ref="J203">
      <text>
        <t xml:space="preserve">Capital amortizado TEÓRICO = cuota base − interés, limitado al saldo.</t>
      </text>
    </comment>
    <comment authorId="0" ref="K203">
      <text>
        <t xml:space="preserve">Seguro y otros cargos fijos del mes.</t>
      </text>
    </comment>
    <comment authorId="0" ref="L203">
      <text>
        <t xml:space="preserve">Cuota base + cargos.</t>
      </text>
    </comment>
    <comment authorId="0" ref="M203">
      <text>
        <t xml:space="preserve">Capital final del calendario teórico. No equivale al saldo real si hay pagos parciales o atrasos.</t>
      </text>
    </comment>
    <comment authorId="0" ref="N203">
      <text>
        <t xml:space="preserve">Suma de pagos válidos del mismo ID y cuota con fecha igual o anterior al corte.</t>
      </text>
    </comment>
    <comment authorId="0" ref="O203">
      <text>
        <t xml:space="preserve">MIN(amortización pactada; MAX(0; pagado − cargos − interés)). No imputa excedentes a otras cuotas.</t>
      </text>
    </comment>
    <comment authorId="0" ref="P203">
      <text>
        <t xml:space="preserve">MAX(0; total pactado − pagado a esta cuota). Incluye capital, interés y cargos pendientes de ESA cuota.</t>
      </text>
    </comment>
    <comment authorId="0" ref="Q203">
      <text>
        <t xml:space="preserve">Días desde vencimiento hasta corte, solo si venció antes del corte y sigue con saldo.</t>
      </text>
    </comment>
    <comment authorId="0" ref="R203">
      <text>
        <t xml:space="preserve">MAX(0; pagado − cuota pactada). Exceso para revisar: no se traspasa a otra cuota.</t>
      </text>
    </comment>
    <comment authorId="0" ref="S203">
      <text>
        <t xml:space="preserve">Pagada, Vencida, Vence hoy, Por vencer o Exceso sin imputar según fecha y saldo al corte.</t>
      </text>
    </comment>
    <comment authorId="0" ref="T203">
      <text>
        <t xml:space="preserve">Auxiliar para encontrar la primera cuota pendiente. El 999999 indica que esta cuota no tiene saldo pendiente o está fuera del plazo, y no es una fecha real.</t>
      </text>
    </comment>
    <comment authorId="0" ref="C204">
      <text>
        <t xml:space="preserve">Crédito al que corresponde esta cuota.</t>
      </text>
    </comment>
    <comment authorId="0" ref="D204">
      <text>
        <t xml:space="preserve">Número de cuota dentro del crédito.</t>
      </text>
    </comment>
    <comment authorId="0" ref="E204">
      <text>
        <t xml:space="preserve">Fecha según EDATE a partir del primer vencimiento. No ajusta automáticamente feriados.</t>
      </text>
    </comment>
    <comment authorId="0" ref="F204">
      <text>
        <t xml:space="preserve">Capital al inicio del período en el calendario ORIGINAL, sin recalcular por pagos reales.</t>
      </text>
    </comment>
    <comment authorId="0" ref="G204">
      <text>
        <t xml:space="preserve">Tasa efectiva del mes según la base ingresada.</t>
      </text>
    </comment>
    <comment authorId="0" ref="H204">
      <text>
        <t xml:space="preserve">Interés del período = capital inicial × tasa mensual, redondeado a dos decimales.</t>
      </text>
    </comment>
    <comment authorId="0" ref="I204">
      <text>
        <t xml:space="preserve">Capital e interés pactados. La última cuota ajusta el saldo por redondeo.</t>
      </text>
    </comment>
    <comment authorId="0" ref="J204">
      <text>
        <t xml:space="preserve">Capital amortizado TEÓRICO = cuota base − interés, limitado al saldo.</t>
      </text>
    </comment>
    <comment authorId="0" ref="K204">
      <text>
        <t xml:space="preserve">Seguro y otros cargos fijos del mes.</t>
      </text>
    </comment>
    <comment authorId="0" ref="L204">
      <text>
        <t xml:space="preserve">Cuota base + cargos.</t>
      </text>
    </comment>
    <comment authorId="0" ref="M204">
      <text>
        <t xml:space="preserve">Capital final del calendario teórico. No equivale al saldo real si hay pagos parciales o atrasos.</t>
      </text>
    </comment>
    <comment authorId="0" ref="N204">
      <text>
        <t xml:space="preserve">Suma de pagos válidos del mismo ID y cuota con fecha igual o anterior al corte.</t>
      </text>
    </comment>
    <comment authorId="0" ref="O204">
      <text>
        <t xml:space="preserve">MIN(amortización pactada; MAX(0; pagado − cargos − interés)). No imputa excedentes a otras cuotas.</t>
      </text>
    </comment>
    <comment authorId="0" ref="P204">
      <text>
        <t xml:space="preserve">MAX(0; total pactado − pagado a esta cuota). Incluye capital, interés y cargos pendientes de ESA cuota.</t>
      </text>
    </comment>
    <comment authorId="0" ref="Q204">
      <text>
        <t xml:space="preserve">Días desde vencimiento hasta corte, solo si venció antes del corte y sigue con saldo.</t>
      </text>
    </comment>
    <comment authorId="0" ref="R204">
      <text>
        <t xml:space="preserve">MAX(0; pagado − cuota pactada). Exceso para revisar: no se traspasa a otra cuota.</t>
      </text>
    </comment>
    <comment authorId="0" ref="S204">
      <text>
        <t xml:space="preserve">Pagada, Vencida, Vence hoy, Por vencer o Exceso sin imputar según fecha y saldo al corte.</t>
      </text>
    </comment>
    <comment authorId="0" ref="T204">
      <text>
        <t xml:space="preserve">Auxiliar para encontrar la primera cuota pendiente. El 999999 indica que esta cuota no tiene saldo pendiente o está fuera del plazo, y no es una fecha real.</t>
      </text>
    </comment>
    <comment authorId="0" ref="C205">
      <text>
        <t xml:space="preserve">Crédito al que corresponde esta cuota.</t>
      </text>
    </comment>
    <comment authorId="0" ref="D205">
      <text>
        <t xml:space="preserve">Número de cuota dentro del crédito.</t>
      </text>
    </comment>
    <comment authorId="0" ref="E205">
      <text>
        <t xml:space="preserve">Fecha según EDATE a partir del primer vencimiento. No ajusta automáticamente feriados.</t>
      </text>
    </comment>
    <comment authorId="0" ref="F205">
      <text>
        <t xml:space="preserve">Capital al inicio del período en el calendario ORIGINAL, sin recalcular por pagos reales.</t>
      </text>
    </comment>
    <comment authorId="0" ref="G205">
      <text>
        <t xml:space="preserve">Tasa efectiva del mes según la base ingresada.</t>
      </text>
    </comment>
    <comment authorId="0" ref="H205">
      <text>
        <t xml:space="preserve">Interés del período = capital inicial × tasa mensual, redondeado a dos decimales.</t>
      </text>
    </comment>
    <comment authorId="0" ref="I205">
      <text>
        <t xml:space="preserve">Capital e interés pactados. La última cuota ajusta el saldo por redondeo.</t>
      </text>
    </comment>
    <comment authorId="0" ref="J205">
      <text>
        <t xml:space="preserve">Capital amortizado TEÓRICO = cuota base − interés, limitado al saldo.</t>
      </text>
    </comment>
    <comment authorId="0" ref="K205">
      <text>
        <t xml:space="preserve">Seguro y otros cargos fijos del mes.</t>
      </text>
    </comment>
    <comment authorId="0" ref="L205">
      <text>
        <t xml:space="preserve">Cuota base + cargos.</t>
      </text>
    </comment>
    <comment authorId="0" ref="M205">
      <text>
        <t xml:space="preserve">Capital final del calendario teórico. No equivale al saldo real si hay pagos parciales o atrasos.</t>
      </text>
    </comment>
    <comment authorId="0" ref="N205">
      <text>
        <t xml:space="preserve">Suma de pagos válidos del mismo ID y cuota con fecha igual o anterior al corte.</t>
      </text>
    </comment>
    <comment authorId="0" ref="O205">
      <text>
        <t xml:space="preserve">MIN(amortización pactada; MAX(0; pagado − cargos − interés)). No imputa excedentes a otras cuotas.</t>
      </text>
    </comment>
    <comment authorId="0" ref="P205">
      <text>
        <t xml:space="preserve">MAX(0; total pactado − pagado a esta cuota). Incluye capital, interés y cargos pendientes de ESA cuota.</t>
      </text>
    </comment>
    <comment authorId="0" ref="Q205">
      <text>
        <t xml:space="preserve">Días desde vencimiento hasta corte, solo si venció antes del corte y sigue con saldo.</t>
      </text>
    </comment>
    <comment authorId="0" ref="R205">
      <text>
        <t xml:space="preserve">MAX(0; pagado − cuota pactada). Exceso para revisar: no se traspasa a otra cuota.</t>
      </text>
    </comment>
    <comment authorId="0" ref="S205">
      <text>
        <t xml:space="preserve">Pagada, Vencida, Vence hoy, Por vencer o Exceso sin imputar según fecha y saldo al corte.</t>
      </text>
    </comment>
    <comment authorId="0" ref="T205">
      <text>
        <t xml:space="preserve">Auxiliar para encontrar la primera cuota pendiente. El 999999 indica que esta cuota no tiene saldo pendiente o está fuera del plazo, y no es una fecha real.</t>
      </text>
    </comment>
    <comment authorId="0" ref="C206">
      <text>
        <t xml:space="preserve">Crédito al que corresponde esta cuota.</t>
      </text>
    </comment>
    <comment authorId="0" ref="D206">
      <text>
        <t xml:space="preserve">Número de cuota dentro del crédito.</t>
      </text>
    </comment>
    <comment authorId="0" ref="E206">
      <text>
        <t xml:space="preserve">Fecha según EDATE a partir del primer vencimiento. No ajusta automáticamente feriados.</t>
      </text>
    </comment>
    <comment authorId="0" ref="F206">
      <text>
        <t xml:space="preserve">Capital al inicio del período en el calendario ORIGINAL, sin recalcular por pagos reales.</t>
      </text>
    </comment>
    <comment authorId="0" ref="G206">
      <text>
        <t xml:space="preserve">Tasa efectiva del mes según la base ingresada.</t>
      </text>
    </comment>
    <comment authorId="0" ref="H206">
      <text>
        <t xml:space="preserve">Interés del período = capital inicial × tasa mensual, redondeado a dos decimales.</t>
      </text>
    </comment>
    <comment authorId="0" ref="I206">
      <text>
        <t xml:space="preserve">Capital e interés pactados. La última cuota ajusta el saldo por redondeo.</t>
      </text>
    </comment>
    <comment authorId="0" ref="J206">
      <text>
        <t xml:space="preserve">Capital amortizado TEÓRICO = cuota base − interés, limitado al saldo.</t>
      </text>
    </comment>
    <comment authorId="0" ref="K206">
      <text>
        <t xml:space="preserve">Seguro y otros cargos fijos del mes.</t>
      </text>
    </comment>
    <comment authorId="0" ref="L206">
      <text>
        <t xml:space="preserve">Cuota base + cargos.</t>
      </text>
    </comment>
    <comment authorId="0" ref="M206">
      <text>
        <t xml:space="preserve">Capital final del calendario teórico. No equivale al saldo real si hay pagos parciales o atrasos.</t>
      </text>
    </comment>
    <comment authorId="0" ref="N206">
      <text>
        <t xml:space="preserve">Suma de pagos válidos del mismo ID y cuota con fecha igual o anterior al corte.</t>
      </text>
    </comment>
    <comment authorId="0" ref="O206">
      <text>
        <t xml:space="preserve">MIN(amortización pactada; MAX(0; pagado − cargos − interés)). No imputa excedentes a otras cuotas.</t>
      </text>
    </comment>
    <comment authorId="0" ref="P206">
      <text>
        <t xml:space="preserve">MAX(0; total pactado − pagado a esta cuota). Incluye capital, interés y cargos pendientes de ESA cuota.</t>
      </text>
    </comment>
    <comment authorId="0" ref="Q206">
      <text>
        <t xml:space="preserve">Días desde vencimiento hasta corte, solo si venció antes del corte y sigue con saldo.</t>
      </text>
    </comment>
    <comment authorId="0" ref="R206">
      <text>
        <t xml:space="preserve">MAX(0; pagado − cuota pactada). Exceso para revisar: no se traspasa a otra cuota.</t>
      </text>
    </comment>
    <comment authorId="0" ref="S206">
      <text>
        <t xml:space="preserve">Pagada, Vencida, Vence hoy, Por vencer o Exceso sin imputar según fecha y saldo al corte.</t>
      </text>
    </comment>
    <comment authorId="0" ref="T206">
      <text>
        <t xml:space="preserve">Auxiliar para encontrar la primera cuota pendiente. El 999999 indica que esta cuota no tiene saldo pendiente o está fuera del plazo, y no es una fecha real.</t>
      </text>
    </comment>
    <comment authorId="0" ref="C207">
      <text>
        <t xml:space="preserve">Crédito al que corresponde esta cuota.</t>
      </text>
    </comment>
    <comment authorId="0" ref="D207">
      <text>
        <t xml:space="preserve">Número de cuota dentro del crédito.</t>
      </text>
    </comment>
    <comment authorId="0" ref="E207">
      <text>
        <t xml:space="preserve">Fecha según EDATE a partir del primer vencimiento. No ajusta automáticamente feriados.</t>
      </text>
    </comment>
    <comment authorId="0" ref="F207">
      <text>
        <t xml:space="preserve">Capital al inicio del período en el calendario ORIGINAL, sin recalcular por pagos reales.</t>
      </text>
    </comment>
    <comment authorId="0" ref="G207">
      <text>
        <t xml:space="preserve">Tasa efectiva del mes según la base ingresada.</t>
      </text>
    </comment>
    <comment authorId="0" ref="H207">
      <text>
        <t xml:space="preserve">Interés del período = capital inicial × tasa mensual, redondeado a dos decimales.</t>
      </text>
    </comment>
    <comment authorId="0" ref="I207">
      <text>
        <t xml:space="preserve">Capital e interés pactados. La última cuota ajusta el saldo por redondeo.</t>
      </text>
    </comment>
    <comment authorId="0" ref="J207">
      <text>
        <t xml:space="preserve">Capital amortizado TEÓRICO = cuota base − interés, limitado al saldo.</t>
      </text>
    </comment>
    <comment authorId="0" ref="K207">
      <text>
        <t xml:space="preserve">Seguro y otros cargos fijos del mes.</t>
      </text>
    </comment>
    <comment authorId="0" ref="L207">
      <text>
        <t xml:space="preserve">Cuota base + cargos.</t>
      </text>
    </comment>
    <comment authorId="0" ref="M207">
      <text>
        <t xml:space="preserve">Capital final del calendario teórico. No equivale al saldo real si hay pagos parciales o atrasos.</t>
      </text>
    </comment>
    <comment authorId="0" ref="N207">
      <text>
        <t xml:space="preserve">Suma de pagos válidos del mismo ID y cuota con fecha igual o anterior al corte.</t>
      </text>
    </comment>
    <comment authorId="0" ref="O207">
      <text>
        <t xml:space="preserve">MIN(amortización pactada; MAX(0; pagado − cargos − interés)). No imputa excedentes a otras cuotas.</t>
      </text>
    </comment>
    <comment authorId="0" ref="P207">
      <text>
        <t xml:space="preserve">MAX(0; total pactado − pagado a esta cuota). Incluye capital, interés y cargos pendientes de ESA cuota.</t>
      </text>
    </comment>
    <comment authorId="0" ref="Q207">
      <text>
        <t xml:space="preserve">Días desde vencimiento hasta corte, solo si venció antes del corte y sigue con saldo.</t>
      </text>
    </comment>
    <comment authorId="0" ref="R207">
      <text>
        <t xml:space="preserve">MAX(0; pagado − cuota pactada). Exceso para revisar: no se traspasa a otra cuota.</t>
      </text>
    </comment>
    <comment authorId="0" ref="S207">
      <text>
        <t xml:space="preserve">Pagada, Vencida, Vence hoy, Por vencer o Exceso sin imputar según fecha y saldo al corte.</t>
      </text>
    </comment>
    <comment authorId="0" ref="T207">
      <text>
        <t xml:space="preserve">Auxiliar para encontrar la primera cuota pendiente. El 999999 indica que esta cuota no tiene saldo pendiente o está fuera del plazo, y no es una fecha real.</t>
      </text>
    </comment>
    <comment authorId="0" ref="C208">
      <text>
        <t xml:space="preserve">Crédito al que corresponde esta cuota.</t>
      </text>
    </comment>
    <comment authorId="0" ref="D208">
      <text>
        <t xml:space="preserve">Número de cuota dentro del crédito.</t>
      </text>
    </comment>
    <comment authorId="0" ref="E208">
      <text>
        <t xml:space="preserve">Fecha según EDATE a partir del primer vencimiento. No ajusta automáticamente feriados.</t>
      </text>
    </comment>
    <comment authorId="0" ref="F208">
      <text>
        <t xml:space="preserve">Capital al inicio del período en el calendario ORIGINAL, sin recalcular por pagos reales.</t>
      </text>
    </comment>
    <comment authorId="0" ref="G208">
      <text>
        <t xml:space="preserve">Tasa efectiva del mes según la base ingresada.</t>
      </text>
    </comment>
    <comment authorId="0" ref="H208">
      <text>
        <t xml:space="preserve">Interés del período = capital inicial × tasa mensual, redondeado a dos decimales.</t>
      </text>
    </comment>
    <comment authorId="0" ref="I208">
      <text>
        <t xml:space="preserve">Capital e interés pactados. La última cuota ajusta el saldo por redondeo.</t>
      </text>
    </comment>
    <comment authorId="0" ref="J208">
      <text>
        <t xml:space="preserve">Capital amortizado TEÓRICO = cuota base − interés, limitado al saldo.</t>
      </text>
    </comment>
    <comment authorId="0" ref="K208">
      <text>
        <t xml:space="preserve">Seguro y otros cargos fijos del mes.</t>
      </text>
    </comment>
    <comment authorId="0" ref="L208">
      <text>
        <t xml:space="preserve">Cuota base + cargos.</t>
      </text>
    </comment>
    <comment authorId="0" ref="M208">
      <text>
        <t xml:space="preserve">Capital final del calendario teórico. No equivale al saldo real si hay pagos parciales o atrasos.</t>
      </text>
    </comment>
    <comment authorId="0" ref="N208">
      <text>
        <t xml:space="preserve">Suma de pagos válidos del mismo ID y cuota con fecha igual o anterior al corte.</t>
      </text>
    </comment>
    <comment authorId="0" ref="O208">
      <text>
        <t xml:space="preserve">MIN(amortización pactada; MAX(0; pagado − cargos − interés)). No imputa excedentes a otras cuotas.</t>
      </text>
    </comment>
    <comment authorId="0" ref="P208">
      <text>
        <t xml:space="preserve">MAX(0; total pactado − pagado a esta cuota). Incluye capital, interés y cargos pendientes de ESA cuota.</t>
      </text>
    </comment>
    <comment authorId="0" ref="Q208">
      <text>
        <t xml:space="preserve">Días desde vencimiento hasta corte, solo si venció antes del corte y sigue con saldo.</t>
      </text>
    </comment>
    <comment authorId="0" ref="R208">
      <text>
        <t xml:space="preserve">MAX(0; pagado − cuota pactada). Exceso para revisar: no se traspasa a otra cuota.</t>
      </text>
    </comment>
    <comment authorId="0" ref="S208">
      <text>
        <t xml:space="preserve">Pagada, Vencida, Vence hoy, Por vencer o Exceso sin imputar según fecha y saldo al corte.</t>
      </text>
    </comment>
    <comment authorId="0" ref="T208">
      <text>
        <t xml:space="preserve">Auxiliar para encontrar la primera cuota pendiente. El 999999 indica que esta cuota no tiene saldo pendiente o está fuera del plazo, y no es una fecha real.</t>
      </text>
    </comment>
    <comment authorId="0" ref="C209">
      <text>
        <t xml:space="preserve">Crédito al que corresponde esta cuota.</t>
      </text>
    </comment>
    <comment authorId="0" ref="D209">
      <text>
        <t xml:space="preserve">Número de cuota dentro del crédito.</t>
      </text>
    </comment>
    <comment authorId="0" ref="E209">
      <text>
        <t xml:space="preserve">Fecha según EDATE a partir del primer vencimiento. No ajusta automáticamente feriados.</t>
      </text>
    </comment>
    <comment authorId="0" ref="F209">
      <text>
        <t xml:space="preserve">Capital al inicio del período en el calendario ORIGINAL, sin recalcular por pagos reales.</t>
      </text>
    </comment>
    <comment authorId="0" ref="G209">
      <text>
        <t xml:space="preserve">Tasa efectiva del mes según la base ingresada.</t>
      </text>
    </comment>
    <comment authorId="0" ref="H209">
      <text>
        <t xml:space="preserve">Interés del período = capital inicial × tasa mensual, redondeado a dos decimales.</t>
      </text>
    </comment>
    <comment authorId="0" ref="I209">
      <text>
        <t xml:space="preserve">Capital e interés pactados. La última cuota ajusta el saldo por redondeo.</t>
      </text>
    </comment>
    <comment authorId="0" ref="J209">
      <text>
        <t xml:space="preserve">Capital amortizado TEÓRICO = cuota base − interés, limitado al saldo.</t>
      </text>
    </comment>
    <comment authorId="0" ref="K209">
      <text>
        <t xml:space="preserve">Seguro y otros cargos fijos del mes.</t>
      </text>
    </comment>
    <comment authorId="0" ref="L209">
      <text>
        <t xml:space="preserve">Cuota base + cargos.</t>
      </text>
    </comment>
    <comment authorId="0" ref="M209">
      <text>
        <t xml:space="preserve">Capital final del calendario teórico. No equivale al saldo real si hay pagos parciales o atrasos.</t>
      </text>
    </comment>
    <comment authorId="0" ref="N209">
      <text>
        <t xml:space="preserve">Suma de pagos válidos del mismo ID y cuota con fecha igual o anterior al corte.</t>
      </text>
    </comment>
    <comment authorId="0" ref="O209">
      <text>
        <t xml:space="preserve">MIN(amortización pactada; MAX(0; pagado − cargos − interés)). No imputa excedentes a otras cuotas.</t>
      </text>
    </comment>
    <comment authorId="0" ref="P209">
      <text>
        <t xml:space="preserve">MAX(0; total pactado − pagado a esta cuota). Incluye capital, interés y cargos pendientes de ESA cuota.</t>
      </text>
    </comment>
    <comment authorId="0" ref="Q209">
      <text>
        <t xml:space="preserve">Días desde vencimiento hasta corte, solo si venció antes del corte y sigue con saldo.</t>
      </text>
    </comment>
    <comment authorId="0" ref="R209">
      <text>
        <t xml:space="preserve">MAX(0; pagado − cuota pactada). Exceso para revisar: no se traspasa a otra cuota.</t>
      </text>
    </comment>
    <comment authorId="0" ref="S209">
      <text>
        <t xml:space="preserve">Pagada, Vencida, Vence hoy, Por vencer o Exceso sin imputar según fecha y saldo al corte.</t>
      </text>
    </comment>
    <comment authorId="0" ref="T209">
      <text>
        <t xml:space="preserve">Auxiliar para encontrar la primera cuota pendiente. El 999999 indica que esta cuota no tiene saldo pendiente o está fuera del plazo, y no es una fecha real.</t>
      </text>
    </comment>
    <comment authorId="0" ref="C210">
      <text>
        <t xml:space="preserve">Crédito al que corresponde esta cuota.</t>
      </text>
    </comment>
    <comment authorId="0" ref="D210">
      <text>
        <t xml:space="preserve">Número de cuota dentro del crédito.</t>
      </text>
    </comment>
    <comment authorId="0" ref="E210">
      <text>
        <t xml:space="preserve">Fecha según EDATE a partir del primer vencimiento. No ajusta automáticamente feriados.</t>
      </text>
    </comment>
    <comment authorId="0" ref="F210">
      <text>
        <t xml:space="preserve">Capital al inicio del período en el calendario ORIGINAL, sin recalcular por pagos reales.</t>
      </text>
    </comment>
    <comment authorId="0" ref="G210">
      <text>
        <t xml:space="preserve">Tasa efectiva del mes según la base ingresada.</t>
      </text>
    </comment>
    <comment authorId="0" ref="H210">
      <text>
        <t xml:space="preserve">Interés del período = capital inicial × tasa mensual, redondeado a dos decimales.</t>
      </text>
    </comment>
    <comment authorId="0" ref="I210">
      <text>
        <t xml:space="preserve">Capital e interés pactados. La última cuota ajusta el saldo por redondeo.</t>
      </text>
    </comment>
    <comment authorId="0" ref="J210">
      <text>
        <t xml:space="preserve">Capital amortizado TEÓRICO = cuota base − interés, limitado al saldo.</t>
      </text>
    </comment>
    <comment authorId="0" ref="K210">
      <text>
        <t xml:space="preserve">Seguro y otros cargos fijos del mes.</t>
      </text>
    </comment>
    <comment authorId="0" ref="L210">
      <text>
        <t xml:space="preserve">Cuota base + cargos.</t>
      </text>
    </comment>
    <comment authorId="0" ref="M210">
      <text>
        <t xml:space="preserve">Capital final del calendario teórico. No equivale al saldo real si hay pagos parciales o atrasos.</t>
      </text>
    </comment>
    <comment authorId="0" ref="N210">
      <text>
        <t xml:space="preserve">Suma de pagos válidos del mismo ID y cuota con fecha igual o anterior al corte.</t>
      </text>
    </comment>
    <comment authorId="0" ref="O210">
      <text>
        <t xml:space="preserve">MIN(amortización pactada; MAX(0; pagado − cargos − interés)). No imputa excedentes a otras cuotas.</t>
      </text>
    </comment>
    <comment authorId="0" ref="P210">
      <text>
        <t xml:space="preserve">MAX(0; total pactado − pagado a esta cuota). Incluye capital, interés y cargos pendientes de ESA cuota.</t>
      </text>
    </comment>
    <comment authorId="0" ref="Q210">
      <text>
        <t xml:space="preserve">Días desde vencimiento hasta corte, solo si venció antes del corte y sigue con saldo.</t>
      </text>
    </comment>
    <comment authorId="0" ref="R210">
      <text>
        <t xml:space="preserve">MAX(0; pagado − cuota pactada). Exceso para revisar: no se traspasa a otra cuota.</t>
      </text>
    </comment>
    <comment authorId="0" ref="S210">
      <text>
        <t xml:space="preserve">Pagada, Vencida, Vence hoy, Por vencer o Exceso sin imputar según fecha y saldo al corte.</t>
      </text>
    </comment>
    <comment authorId="0" ref="T210">
      <text>
        <t xml:space="preserve">Auxiliar para encontrar la primera cuota pendiente. El 999999 indica que esta cuota no tiene saldo pendiente o está fuera del plazo, y no es una fecha real.</t>
      </text>
    </comment>
    <comment authorId="0" ref="C211">
      <text>
        <t xml:space="preserve">Crédito al que corresponde esta cuota.</t>
      </text>
    </comment>
    <comment authorId="0" ref="D211">
      <text>
        <t xml:space="preserve">Número de cuota dentro del crédito.</t>
      </text>
    </comment>
    <comment authorId="0" ref="E211">
      <text>
        <t xml:space="preserve">Fecha según EDATE a partir del primer vencimiento. No ajusta automáticamente feriados.</t>
      </text>
    </comment>
    <comment authorId="0" ref="F211">
      <text>
        <t xml:space="preserve">Capital al inicio del período en el calendario ORIGINAL, sin recalcular por pagos reales.</t>
      </text>
    </comment>
    <comment authorId="0" ref="G211">
      <text>
        <t xml:space="preserve">Tasa efectiva del mes según la base ingresada.</t>
      </text>
    </comment>
    <comment authorId="0" ref="H211">
      <text>
        <t xml:space="preserve">Interés del período = capital inicial × tasa mensual, redondeado a dos decimales.</t>
      </text>
    </comment>
    <comment authorId="0" ref="I211">
      <text>
        <t xml:space="preserve">Capital e interés pactados. La última cuota ajusta el saldo por redondeo.</t>
      </text>
    </comment>
    <comment authorId="0" ref="J211">
      <text>
        <t xml:space="preserve">Capital amortizado TEÓRICO = cuota base − interés, limitado al saldo.</t>
      </text>
    </comment>
    <comment authorId="0" ref="K211">
      <text>
        <t xml:space="preserve">Seguro y otros cargos fijos del mes.</t>
      </text>
    </comment>
    <comment authorId="0" ref="L211">
      <text>
        <t xml:space="preserve">Cuota base + cargos.</t>
      </text>
    </comment>
    <comment authorId="0" ref="M211">
      <text>
        <t xml:space="preserve">Capital final del calendario teórico. No equivale al saldo real si hay pagos parciales o atrasos.</t>
      </text>
    </comment>
    <comment authorId="0" ref="N211">
      <text>
        <t xml:space="preserve">Suma de pagos válidos del mismo ID y cuota con fecha igual o anterior al corte.</t>
      </text>
    </comment>
    <comment authorId="0" ref="O211">
      <text>
        <t xml:space="preserve">MIN(amortización pactada; MAX(0; pagado − cargos − interés)). No imputa excedentes a otras cuotas.</t>
      </text>
    </comment>
    <comment authorId="0" ref="P211">
      <text>
        <t xml:space="preserve">MAX(0; total pactado − pagado a esta cuota). Incluye capital, interés y cargos pendientes de ESA cuota.</t>
      </text>
    </comment>
    <comment authorId="0" ref="Q211">
      <text>
        <t xml:space="preserve">Días desde vencimiento hasta corte, solo si venció antes del corte y sigue con saldo.</t>
      </text>
    </comment>
    <comment authorId="0" ref="R211">
      <text>
        <t xml:space="preserve">MAX(0; pagado − cuota pactada). Exceso para revisar: no se traspasa a otra cuota.</t>
      </text>
    </comment>
    <comment authorId="0" ref="S211">
      <text>
        <t xml:space="preserve">Pagada, Vencida, Vence hoy, Por vencer o Exceso sin imputar según fecha y saldo al corte.</t>
      </text>
    </comment>
    <comment authorId="0" ref="T211">
      <text>
        <t xml:space="preserve">Auxiliar para encontrar la primera cuota pendiente. El 999999 indica que esta cuota no tiene saldo pendiente o está fuera del plazo, y no es una fecha real.</t>
      </text>
    </comment>
    <comment authorId="0" ref="C212">
      <text>
        <t xml:space="preserve">Crédito al que corresponde esta cuota.</t>
      </text>
    </comment>
    <comment authorId="0" ref="D212">
      <text>
        <t xml:space="preserve">Número de cuota dentro del crédito.</t>
      </text>
    </comment>
    <comment authorId="0" ref="E212">
      <text>
        <t xml:space="preserve">Fecha según EDATE a partir del primer vencimiento. No ajusta automáticamente feriados.</t>
      </text>
    </comment>
    <comment authorId="0" ref="F212">
      <text>
        <t xml:space="preserve">Capital al inicio del período en el calendario ORIGINAL, sin recalcular por pagos reales.</t>
      </text>
    </comment>
    <comment authorId="0" ref="G212">
      <text>
        <t xml:space="preserve">Tasa efectiva del mes según la base ingresada.</t>
      </text>
    </comment>
    <comment authorId="0" ref="H212">
      <text>
        <t xml:space="preserve">Interés del período = capital inicial × tasa mensual, redondeado a dos decimales.</t>
      </text>
    </comment>
    <comment authorId="0" ref="I212">
      <text>
        <t xml:space="preserve">Capital e interés pactados. La última cuota ajusta el saldo por redondeo.</t>
      </text>
    </comment>
    <comment authorId="0" ref="J212">
      <text>
        <t xml:space="preserve">Capital amortizado TEÓRICO = cuota base − interés, limitado al saldo.</t>
      </text>
    </comment>
    <comment authorId="0" ref="K212">
      <text>
        <t xml:space="preserve">Seguro y otros cargos fijos del mes.</t>
      </text>
    </comment>
    <comment authorId="0" ref="L212">
      <text>
        <t xml:space="preserve">Cuota base + cargos.</t>
      </text>
    </comment>
    <comment authorId="0" ref="M212">
      <text>
        <t xml:space="preserve">Capital final del calendario teórico. No equivale al saldo real si hay pagos parciales o atrasos.</t>
      </text>
    </comment>
    <comment authorId="0" ref="N212">
      <text>
        <t xml:space="preserve">Suma de pagos válidos del mismo ID y cuota con fecha igual o anterior al corte.</t>
      </text>
    </comment>
    <comment authorId="0" ref="O212">
      <text>
        <t xml:space="preserve">MIN(amortización pactada; MAX(0; pagado − cargos − interés)). No imputa excedentes a otras cuotas.</t>
      </text>
    </comment>
    <comment authorId="0" ref="P212">
      <text>
        <t xml:space="preserve">MAX(0; total pactado − pagado a esta cuota). Incluye capital, interés y cargos pendientes de ESA cuota.</t>
      </text>
    </comment>
    <comment authorId="0" ref="Q212">
      <text>
        <t xml:space="preserve">Días desde vencimiento hasta corte, solo si venció antes del corte y sigue con saldo.</t>
      </text>
    </comment>
    <comment authorId="0" ref="R212">
      <text>
        <t xml:space="preserve">MAX(0; pagado − cuota pactada). Exceso para revisar: no se traspasa a otra cuota.</t>
      </text>
    </comment>
    <comment authorId="0" ref="S212">
      <text>
        <t xml:space="preserve">Pagada, Vencida, Vence hoy, Por vencer o Exceso sin imputar según fecha y saldo al corte.</t>
      </text>
    </comment>
    <comment authorId="0" ref="T212">
      <text>
        <t xml:space="preserve">Auxiliar para encontrar la primera cuota pendiente. El 999999 indica que esta cuota no tiene saldo pendiente o está fuera del plazo, y no es una fecha real.</t>
      </text>
    </comment>
    <comment authorId="0" ref="C213">
      <text>
        <t xml:space="preserve">Crédito al que corresponde esta cuota.</t>
      </text>
    </comment>
    <comment authorId="0" ref="D213">
      <text>
        <t xml:space="preserve">Número de cuota dentro del crédito.</t>
      </text>
    </comment>
    <comment authorId="0" ref="E213">
      <text>
        <t xml:space="preserve">Fecha según EDATE a partir del primer vencimiento. No ajusta automáticamente feriados.</t>
      </text>
    </comment>
    <comment authorId="0" ref="F213">
      <text>
        <t xml:space="preserve">Capital al inicio del período en el calendario ORIGINAL, sin recalcular por pagos reales.</t>
      </text>
    </comment>
    <comment authorId="0" ref="G213">
      <text>
        <t xml:space="preserve">Tasa efectiva del mes según la base ingresada.</t>
      </text>
    </comment>
    <comment authorId="0" ref="H213">
      <text>
        <t xml:space="preserve">Interés del período = capital inicial × tasa mensual, redondeado a dos decimales.</t>
      </text>
    </comment>
    <comment authorId="0" ref="I213">
      <text>
        <t xml:space="preserve">Capital e interés pactados. La última cuota ajusta el saldo por redondeo.</t>
      </text>
    </comment>
    <comment authorId="0" ref="J213">
      <text>
        <t xml:space="preserve">Capital amortizado TEÓRICO = cuota base − interés, limitado al saldo.</t>
      </text>
    </comment>
    <comment authorId="0" ref="K213">
      <text>
        <t xml:space="preserve">Seguro y otros cargos fijos del mes.</t>
      </text>
    </comment>
    <comment authorId="0" ref="L213">
      <text>
        <t xml:space="preserve">Cuota base + cargos.</t>
      </text>
    </comment>
    <comment authorId="0" ref="M213">
      <text>
        <t xml:space="preserve">Capital final del calendario teórico. No equivale al saldo real si hay pagos parciales o atrasos.</t>
      </text>
    </comment>
    <comment authorId="0" ref="N213">
      <text>
        <t xml:space="preserve">Suma de pagos válidos del mismo ID y cuota con fecha igual o anterior al corte.</t>
      </text>
    </comment>
    <comment authorId="0" ref="O213">
      <text>
        <t xml:space="preserve">MIN(amortización pactada; MAX(0; pagado − cargos − interés)). No imputa excedentes a otras cuotas.</t>
      </text>
    </comment>
    <comment authorId="0" ref="P213">
      <text>
        <t xml:space="preserve">MAX(0; total pactado − pagado a esta cuota). Incluye capital, interés y cargos pendientes de ESA cuota.</t>
      </text>
    </comment>
    <comment authorId="0" ref="Q213">
      <text>
        <t xml:space="preserve">Días desde vencimiento hasta corte, solo si venció antes del corte y sigue con saldo.</t>
      </text>
    </comment>
    <comment authorId="0" ref="R213">
      <text>
        <t xml:space="preserve">MAX(0; pagado − cuota pactada). Exceso para revisar: no se traspasa a otra cuota.</t>
      </text>
    </comment>
    <comment authorId="0" ref="S213">
      <text>
        <t xml:space="preserve">Pagada, Vencida, Vence hoy, Por vencer o Exceso sin imputar según fecha y saldo al corte.</t>
      </text>
    </comment>
    <comment authorId="0" ref="T213">
      <text>
        <t xml:space="preserve">Auxiliar para encontrar la primera cuota pendiente. El 999999 indica que esta cuota no tiene saldo pendiente o está fuera del plazo, y no es una fecha real.</t>
      </text>
    </comment>
    <comment authorId="0" ref="C214">
      <text>
        <t xml:space="preserve">Crédito al que corresponde esta cuota.</t>
      </text>
    </comment>
    <comment authorId="0" ref="D214">
      <text>
        <t xml:space="preserve">Número de cuota dentro del crédito.</t>
      </text>
    </comment>
    <comment authorId="0" ref="E214">
      <text>
        <t xml:space="preserve">Fecha según EDATE a partir del primer vencimiento. No ajusta automáticamente feriados.</t>
      </text>
    </comment>
    <comment authorId="0" ref="F214">
      <text>
        <t xml:space="preserve">Capital al inicio del período en el calendario ORIGINAL, sin recalcular por pagos reales.</t>
      </text>
    </comment>
    <comment authorId="0" ref="G214">
      <text>
        <t xml:space="preserve">Tasa efectiva del mes según la base ingresada.</t>
      </text>
    </comment>
    <comment authorId="0" ref="H214">
      <text>
        <t xml:space="preserve">Interés del período = capital inicial × tasa mensual, redondeado a dos decimales.</t>
      </text>
    </comment>
    <comment authorId="0" ref="I214">
      <text>
        <t xml:space="preserve">Capital e interés pactados. La última cuota ajusta el saldo por redondeo.</t>
      </text>
    </comment>
    <comment authorId="0" ref="J214">
      <text>
        <t xml:space="preserve">Capital amortizado TEÓRICO = cuota base − interés, limitado al saldo.</t>
      </text>
    </comment>
    <comment authorId="0" ref="K214">
      <text>
        <t xml:space="preserve">Seguro y otros cargos fijos del mes.</t>
      </text>
    </comment>
    <comment authorId="0" ref="L214">
      <text>
        <t xml:space="preserve">Cuota base + cargos.</t>
      </text>
    </comment>
    <comment authorId="0" ref="M214">
      <text>
        <t xml:space="preserve">Capital final del calendario teórico. No equivale al saldo real si hay pagos parciales o atrasos.</t>
      </text>
    </comment>
    <comment authorId="0" ref="N214">
      <text>
        <t xml:space="preserve">Suma de pagos válidos del mismo ID y cuota con fecha igual o anterior al corte.</t>
      </text>
    </comment>
    <comment authorId="0" ref="O214">
      <text>
        <t xml:space="preserve">MIN(amortización pactada; MAX(0; pagado − cargos − interés)). No imputa excedentes a otras cuotas.</t>
      </text>
    </comment>
    <comment authorId="0" ref="P214">
      <text>
        <t xml:space="preserve">MAX(0; total pactado − pagado a esta cuota). Incluye capital, interés y cargos pendientes de ESA cuota.</t>
      </text>
    </comment>
    <comment authorId="0" ref="Q214">
      <text>
        <t xml:space="preserve">Días desde vencimiento hasta corte, solo si venció antes del corte y sigue con saldo.</t>
      </text>
    </comment>
    <comment authorId="0" ref="R214">
      <text>
        <t xml:space="preserve">MAX(0; pagado − cuota pactada). Exceso para revisar: no se traspasa a otra cuota.</t>
      </text>
    </comment>
    <comment authorId="0" ref="S214">
      <text>
        <t xml:space="preserve">Pagada, Vencida, Vence hoy, Por vencer o Exceso sin imputar según fecha y saldo al corte.</t>
      </text>
    </comment>
    <comment authorId="0" ref="T214">
      <text>
        <t xml:space="preserve">Auxiliar para encontrar la primera cuota pendiente. El 999999 indica que esta cuota no tiene saldo pendiente o está fuera del plazo, y no es una fecha real.</t>
      </text>
    </comment>
    <comment authorId="0" ref="C215">
      <text>
        <t xml:space="preserve">Crédito al que corresponde esta cuota.</t>
      </text>
    </comment>
    <comment authorId="0" ref="D215">
      <text>
        <t xml:space="preserve">Número de cuota dentro del crédito.</t>
      </text>
    </comment>
    <comment authorId="0" ref="E215">
      <text>
        <t xml:space="preserve">Fecha según EDATE a partir del primer vencimiento. No ajusta automáticamente feriados.</t>
      </text>
    </comment>
    <comment authorId="0" ref="F215">
      <text>
        <t xml:space="preserve">Capital al inicio del período en el calendario ORIGINAL, sin recalcular por pagos reales.</t>
      </text>
    </comment>
    <comment authorId="0" ref="G215">
      <text>
        <t xml:space="preserve">Tasa efectiva del mes según la base ingresada.</t>
      </text>
    </comment>
    <comment authorId="0" ref="H215">
      <text>
        <t xml:space="preserve">Interés del período = capital inicial × tasa mensual, redondeado a dos decimales.</t>
      </text>
    </comment>
    <comment authorId="0" ref="I215">
      <text>
        <t xml:space="preserve">Capital e interés pactados. La última cuota ajusta el saldo por redondeo.</t>
      </text>
    </comment>
    <comment authorId="0" ref="J215">
      <text>
        <t xml:space="preserve">Capital amortizado TEÓRICO = cuota base − interés, limitado al saldo.</t>
      </text>
    </comment>
    <comment authorId="0" ref="K215">
      <text>
        <t xml:space="preserve">Seguro y otros cargos fijos del mes.</t>
      </text>
    </comment>
    <comment authorId="0" ref="L215">
      <text>
        <t xml:space="preserve">Cuota base + cargos.</t>
      </text>
    </comment>
    <comment authorId="0" ref="M215">
      <text>
        <t xml:space="preserve">Capital final del calendario teórico. No equivale al saldo real si hay pagos parciales o atrasos.</t>
      </text>
    </comment>
    <comment authorId="0" ref="N215">
      <text>
        <t xml:space="preserve">Suma de pagos válidos del mismo ID y cuota con fecha igual o anterior al corte.</t>
      </text>
    </comment>
    <comment authorId="0" ref="O215">
      <text>
        <t xml:space="preserve">MIN(amortización pactada; MAX(0; pagado − cargos − interés)). No imputa excedentes a otras cuotas.</t>
      </text>
    </comment>
    <comment authorId="0" ref="P215">
      <text>
        <t xml:space="preserve">MAX(0; total pactado − pagado a esta cuota). Incluye capital, interés y cargos pendientes de ESA cuota.</t>
      </text>
    </comment>
    <comment authorId="0" ref="Q215">
      <text>
        <t xml:space="preserve">Días desde vencimiento hasta corte, solo si venció antes del corte y sigue con saldo.</t>
      </text>
    </comment>
    <comment authorId="0" ref="R215">
      <text>
        <t xml:space="preserve">MAX(0; pagado − cuota pactada). Exceso para revisar: no se traspasa a otra cuota.</t>
      </text>
    </comment>
    <comment authorId="0" ref="S215">
      <text>
        <t xml:space="preserve">Pagada, Vencida, Vence hoy, Por vencer o Exceso sin imputar según fecha y saldo al corte.</t>
      </text>
    </comment>
    <comment authorId="0" ref="T215">
      <text>
        <t xml:space="preserve">Auxiliar para encontrar la primera cuota pendiente. El 999999 indica que esta cuota no tiene saldo pendiente o está fuera del plazo, y no es una fecha real.</t>
      </text>
    </comment>
    <comment authorId="0" ref="C216">
      <text>
        <t xml:space="preserve">Crédito al que corresponde esta cuota.</t>
      </text>
    </comment>
    <comment authorId="0" ref="D216">
      <text>
        <t xml:space="preserve">Número de cuota dentro del crédito.</t>
      </text>
    </comment>
    <comment authorId="0" ref="E216">
      <text>
        <t xml:space="preserve">Fecha según EDATE a partir del primer vencimiento. No ajusta automáticamente feriados.</t>
      </text>
    </comment>
    <comment authorId="0" ref="F216">
      <text>
        <t xml:space="preserve">Capital al inicio del período en el calendario ORIGINAL, sin recalcular por pagos reales.</t>
      </text>
    </comment>
    <comment authorId="0" ref="G216">
      <text>
        <t xml:space="preserve">Tasa efectiva del mes según la base ingresada.</t>
      </text>
    </comment>
    <comment authorId="0" ref="H216">
      <text>
        <t xml:space="preserve">Interés del período = capital inicial × tasa mensual, redondeado a dos decimales.</t>
      </text>
    </comment>
    <comment authorId="0" ref="I216">
      <text>
        <t xml:space="preserve">Capital e interés pactados. La última cuota ajusta el saldo por redondeo.</t>
      </text>
    </comment>
    <comment authorId="0" ref="J216">
      <text>
        <t xml:space="preserve">Capital amortizado TEÓRICO = cuota base − interés, limitado al saldo.</t>
      </text>
    </comment>
    <comment authorId="0" ref="K216">
      <text>
        <t xml:space="preserve">Seguro y otros cargos fijos del mes.</t>
      </text>
    </comment>
    <comment authorId="0" ref="L216">
      <text>
        <t xml:space="preserve">Cuota base + cargos.</t>
      </text>
    </comment>
    <comment authorId="0" ref="M216">
      <text>
        <t xml:space="preserve">Capital final del calendario teórico. No equivale al saldo real si hay pagos parciales o atrasos.</t>
      </text>
    </comment>
    <comment authorId="0" ref="N216">
      <text>
        <t xml:space="preserve">Suma de pagos válidos del mismo ID y cuota con fecha igual o anterior al corte.</t>
      </text>
    </comment>
    <comment authorId="0" ref="O216">
      <text>
        <t xml:space="preserve">MIN(amortización pactada; MAX(0; pagado − cargos − interés)). No imputa excedentes a otras cuotas.</t>
      </text>
    </comment>
    <comment authorId="0" ref="P216">
      <text>
        <t xml:space="preserve">MAX(0; total pactado − pagado a esta cuota). Incluye capital, interés y cargos pendientes de ESA cuota.</t>
      </text>
    </comment>
    <comment authorId="0" ref="Q216">
      <text>
        <t xml:space="preserve">Días desde vencimiento hasta corte, solo si venció antes del corte y sigue con saldo.</t>
      </text>
    </comment>
    <comment authorId="0" ref="R216">
      <text>
        <t xml:space="preserve">MAX(0; pagado − cuota pactada). Exceso para revisar: no se traspasa a otra cuota.</t>
      </text>
    </comment>
    <comment authorId="0" ref="S216">
      <text>
        <t xml:space="preserve">Pagada, Vencida, Vence hoy, Por vencer o Exceso sin imputar según fecha y saldo al corte.</t>
      </text>
    </comment>
    <comment authorId="0" ref="T216">
      <text>
        <t xml:space="preserve">Auxiliar para encontrar la primera cuota pendiente. El 999999 indica que esta cuota no tiene saldo pendiente o está fuera del plazo, y no es una fecha real.</t>
      </text>
    </comment>
    <comment authorId="0" ref="C217">
      <text>
        <t xml:space="preserve">Crédito al que corresponde esta cuota.</t>
      </text>
    </comment>
    <comment authorId="0" ref="D217">
      <text>
        <t xml:space="preserve">Número de cuota dentro del crédito.</t>
      </text>
    </comment>
    <comment authorId="0" ref="E217">
      <text>
        <t xml:space="preserve">Fecha según EDATE a partir del primer vencimiento. No ajusta automáticamente feriados.</t>
      </text>
    </comment>
    <comment authorId="0" ref="F217">
      <text>
        <t xml:space="preserve">Capital al inicio del período en el calendario ORIGINAL, sin recalcular por pagos reales.</t>
      </text>
    </comment>
    <comment authorId="0" ref="G217">
      <text>
        <t xml:space="preserve">Tasa efectiva del mes según la base ingresada.</t>
      </text>
    </comment>
    <comment authorId="0" ref="H217">
      <text>
        <t xml:space="preserve">Interés del período = capital inicial × tasa mensual, redondeado a dos decimales.</t>
      </text>
    </comment>
    <comment authorId="0" ref="I217">
      <text>
        <t xml:space="preserve">Capital e interés pactados. La última cuota ajusta el saldo por redondeo.</t>
      </text>
    </comment>
    <comment authorId="0" ref="J217">
      <text>
        <t xml:space="preserve">Capital amortizado TEÓRICO = cuota base − interés, limitado al saldo.</t>
      </text>
    </comment>
    <comment authorId="0" ref="K217">
      <text>
        <t xml:space="preserve">Seguro y otros cargos fijos del mes.</t>
      </text>
    </comment>
    <comment authorId="0" ref="L217">
      <text>
        <t xml:space="preserve">Cuota base + cargos.</t>
      </text>
    </comment>
    <comment authorId="0" ref="M217">
      <text>
        <t xml:space="preserve">Capital final del calendario teórico. No equivale al saldo real si hay pagos parciales o atrasos.</t>
      </text>
    </comment>
    <comment authorId="0" ref="N217">
      <text>
        <t xml:space="preserve">Suma de pagos válidos del mismo ID y cuota con fecha igual o anterior al corte.</t>
      </text>
    </comment>
    <comment authorId="0" ref="O217">
      <text>
        <t xml:space="preserve">MIN(amortización pactada; MAX(0; pagado − cargos − interés)). No imputa excedentes a otras cuotas.</t>
      </text>
    </comment>
    <comment authorId="0" ref="P217">
      <text>
        <t xml:space="preserve">MAX(0; total pactado − pagado a esta cuota). Incluye capital, interés y cargos pendientes de ESA cuota.</t>
      </text>
    </comment>
    <comment authorId="0" ref="Q217">
      <text>
        <t xml:space="preserve">Días desde vencimiento hasta corte, solo si venció antes del corte y sigue con saldo.</t>
      </text>
    </comment>
    <comment authorId="0" ref="R217">
      <text>
        <t xml:space="preserve">MAX(0; pagado − cuota pactada). Exceso para revisar: no se traspasa a otra cuota.</t>
      </text>
    </comment>
    <comment authorId="0" ref="S217">
      <text>
        <t xml:space="preserve">Pagada, Vencida, Vence hoy, Por vencer o Exceso sin imputar según fecha y saldo al corte.</t>
      </text>
    </comment>
    <comment authorId="0" ref="T217">
      <text>
        <t xml:space="preserve">Auxiliar para encontrar la primera cuota pendiente. El 999999 indica que esta cuota no tiene saldo pendiente o está fuera del plazo, y no es una fecha real.</t>
      </text>
    </comment>
    <comment authorId="0" ref="C218">
      <text>
        <t xml:space="preserve">Crédito al que corresponde esta cuota.</t>
      </text>
    </comment>
    <comment authorId="0" ref="D218">
      <text>
        <t xml:space="preserve">Número de cuota dentro del crédito.</t>
      </text>
    </comment>
    <comment authorId="0" ref="E218">
      <text>
        <t xml:space="preserve">Fecha según EDATE a partir del primer vencimiento. No ajusta automáticamente feriados.</t>
      </text>
    </comment>
    <comment authorId="0" ref="F218">
      <text>
        <t xml:space="preserve">Capital al inicio del período en el calendario ORIGINAL, sin recalcular por pagos reales.</t>
      </text>
    </comment>
    <comment authorId="0" ref="G218">
      <text>
        <t xml:space="preserve">Tasa efectiva del mes según la base ingresada.</t>
      </text>
    </comment>
    <comment authorId="0" ref="H218">
      <text>
        <t xml:space="preserve">Interés del período = capital inicial × tasa mensual, redondeado a dos decimales.</t>
      </text>
    </comment>
    <comment authorId="0" ref="I218">
      <text>
        <t xml:space="preserve">Capital e interés pactados. La última cuota ajusta el saldo por redondeo.</t>
      </text>
    </comment>
    <comment authorId="0" ref="J218">
      <text>
        <t xml:space="preserve">Capital amortizado TEÓRICO = cuota base − interés, limitado al saldo.</t>
      </text>
    </comment>
    <comment authorId="0" ref="K218">
      <text>
        <t xml:space="preserve">Seguro y otros cargos fijos del mes.</t>
      </text>
    </comment>
    <comment authorId="0" ref="L218">
      <text>
        <t xml:space="preserve">Cuota base + cargos.</t>
      </text>
    </comment>
    <comment authorId="0" ref="M218">
      <text>
        <t xml:space="preserve">Capital final del calendario teórico. No equivale al saldo real si hay pagos parciales o atrasos.</t>
      </text>
    </comment>
    <comment authorId="0" ref="N218">
      <text>
        <t xml:space="preserve">Suma de pagos válidos del mismo ID y cuota con fecha igual o anterior al corte.</t>
      </text>
    </comment>
    <comment authorId="0" ref="O218">
      <text>
        <t xml:space="preserve">MIN(amortización pactada; MAX(0; pagado − cargos − interés)). No imputa excedentes a otras cuotas.</t>
      </text>
    </comment>
    <comment authorId="0" ref="P218">
      <text>
        <t xml:space="preserve">MAX(0; total pactado − pagado a esta cuota). Incluye capital, interés y cargos pendientes de ESA cuota.</t>
      </text>
    </comment>
    <comment authorId="0" ref="Q218">
      <text>
        <t xml:space="preserve">Días desde vencimiento hasta corte, solo si venció antes del corte y sigue con saldo.</t>
      </text>
    </comment>
    <comment authorId="0" ref="R218">
      <text>
        <t xml:space="preserve">MAX(0; pagado − cuota pactada). Exceso para revisar: no se traspasa a otra cuota.</t>
      </text>
    </comment>
    <comment authorId="0" ref="S218">
      <text>
        <t xml:space="preserve">Pagada, Vencida, Vence hoy, Por vencer o Exceso sin imputar según fecha y saldo al corte.</t>
      </text>
    </comment>
    <comment authorId="0" ref="T218">
      <text>
        <t xml:space="preserve">Auxiliar para encontrar la primera cuota pendiente. El 999999 indica que esta cuota no tiene saldo pendiente o está fuera del plazo, y no es una fecha real.</t>
      </text>
    </comment>
    <comment authorId="0" ref="C219">
      <text>
        <t xml:space="preserve">Crédito al que corresponde esta cuota.</t>
      </text>
    </comment>
    <comment authorId="0" ref="D219">
      <text>
        <t xml:space="preserve">Número de cuota dentro del crédito.</t>
      </text>
    </comment>
    <comment authorId="0" ref="E219">
      <text>
        <t xml:space="preserve">Fecha según EDATE a partir del primer vencimiento. No ajusta automáticamente feriados.</t>
      </text>
    </comment>
    <comment authorId="0" ref="F219">
      <text>
        <t xml:space="preserve">Capital al inicio del período en el calendario ORIGINAL, sin recalcular por pagos reales.</t>
      </text>
    </comment>
    <comment authorId="0" ref="G219">
      <text>
        <t xml:space="preserve">Tasa efectiva del mes según la base ingresada.</t>
      </text>
    </comment>
    <comment authorId="0" ref="H219">
      <text>
        <t xml:space="preserve">Interés del período = capital inicial × tasa mensual, redondeado a dos decimales.</t>
      </text>
    </comment>
    <comment authorId="0" ref="I219">
      <text>
        <t xml:space="preserve">Capital e interés pactados. La última cuota ajusta el saldo por redondeo.</t>
      </text>
    </comment>
    <comment authorId="0" ref="J219">
      <text>
        <t xml:space="preserve">Capital amortizado TEÓRICO = cuota base − interés, limitado al saldo.</t>
      </text>
    </comment>
    <comment authorId="0" ref="K219">
      <text>
        <t xml:space="preserve">Seguro y otros cargos fijos del mes.</t>
      </text>
    </comment>
    <comment authorId="0" ref="L219">
      <text>
        <t xml:space="preserve">Cuota base + cargos.</t>
      </text>
    </comment>
    <comment authorId="0" ref="M219">
      <text>
        <t xml:space="preserve">Capital final del calendario teórico. No equivale al saldo real si hay pagos parciales o atrasos.</t>
      </text>
    </comment>
    <comment authorId="0" ref="N219">
      <text>
        <t xml:space="preserve">Suma de pagos válidos del mismo ID y cuota con fecha igual o anterior al corte.</t>
      </text>
    </comment>
    <comment authorId="0" ref="O219">
      <text>
        <t xml:space="preserve">MIN(amortización pactada; MAX(0; pagado − cargos − interés)). No imputa excedentes a otras cuotas.</t>
      </text>
    </comment>
    <comment authorId="0" ref="P219">
      <text>
        <t xml:space="preserve">MAX(0; total pactado − pagado a esta cuota). Incluye capital, interés y cargos pendientes de ESA cuota.</t>
      </text>
    </comment>
    <comment authorId="0" ref="Q219">
      <text>
        <t xml:space="preserve">Días desde vencimiento hasta corte, solo si venció antes del corte y sigue con saldo.</t>
      </text>
    </comment>
    <comment authorId="0" ref="R219">
      <text>
        <t xml:space="preserve">MAX(0; pagado − cuota pactada). Exceso para revisar: no se traspasa a otra cuota.</t>
      </text>
    </comment>
    <comment authorId="0" ref="S219">
      <text>
        <t xml:space="preserve">Pagada, Vencida, Vence hoy, Por vencer o Exceso sin imputar según fecha y saldo al corte.</t>
      </text>
    </comment>
    <comment authorId="0" ref="T219">
      <text>
        <t xml:space="preserve">Auxiliar para encontrar la primera cuota pendiente. El 999999 indica que esta cuota no tiene saldo pendiente o está fuera del plazo, y no es una fecha real.</t>
      </text>
    </comment>
    <comment authorId="0" ref="C220">
      <text>
        <t xml:space="preserve">Crédito al que corresponde esta cuota.</t>
      </text>
    </comment>
    <comment authorId="0" ref="D220">
      <text>
        <t xml:space="preserve">Número de cuota dentro del crédito.</t>
      </text>
    </comment>
    <comment authorId="0" ref="E220">
      <text>
        <t xml:space="preserve">Fecha según EDATE a partir del primer vencimiento. No ajusta automáticamente feriados.</t>
      </text>
    </comment>
    <comment authorId="0" ref="F220">
      <text>
        <t xml:space="preserve">Capital al inicio del período en el calendario ORIGINAL, sin recalcular por pagos reales.</t>
      </text>
    </comment>
    <comment authorId="0" ref="G220">
      <text>
        <t xml:space="preserve">Tasa efectiva del mes según la base ingresada.</t>
      </text>
    </comment>
    <comment authorId="0" ref="H220">
      <text>
        <t xml:space="preserve">Interés del período = capital inicial × tasa mensual, redondeado a dos decimales.</t>
      </text>
    </comment>
    <comment authorId="0" ref="I220">
      <text>
        <t xml:space="preserve">Capital e interés pactados. La última cuota ajusta el saldo por redondeo.</t>
      </text>
    </comment>
    <comment authorId="0" ref="J220">
      <text>
        <t xml:space="preserve">Capital amortizado TEÓRICO = cuota base − interés, limitado al saldo.</t>
      </text>
    </comment>
    <comment authorId="0" ref="K220">
      <text>
        <t xml:space="preserve">Seguro y otros cargos fijos del mes.</t>
      </text>
    </comment>
    <comment authorId="0" ref="L220">
      <text>
        <t xml:space="preserve">Cuota base + cargos.</t>
      </text>
    </comment>
    <comment authorId="0" ref="M220">
      <text>
        <t xml:space="preserve">Capital final del calendario teórico. No equivale al saldo real si hay pagos parciales o atrasos.</t>
      </text>
    </comment>
    <comment authorId="0" ref="N220">
      <text>
        <t xml:space="preserve">Suma de pagos válidos del mismo ID y cuota con fecha igual o anterior al corte.</t>
      </text>
    </comment>
    <comment authorId="0" ref="O220">
      <text>
        <t xml:space="preserve">MIN(amortización pactada; MAX(0; pagado − cargos − interés)). No imputa excedentes a otras cuotas.</t>
      </text>
    </comment>
    <comment authorId="0" ref="P220">
      <text>
        <t xml:space="preserve">MAX(0; total pactado − pagado a esta cuota). Incluye capital, interés y cargos pendientes de ESA cuota.</t>
      </text>
    </comment>
    <comment authorId="0" ref="Q220">
      <text>
        <t xml:space="preserve">Días desde vencimiento hasta corte, solo si venció antes del corte y sigue con saldo.</t>
      </text>
    </comment>
    <comment authorId="0" ref="R220">
      <text>
        <t xml:space="preserve">MAX(0; pagado − cuota pactada). Exceso para revisar: no se traspasa a otra cuota.</t>
      </text>
    </comment>
    <comment authorId="0" ref="S220">
      <text>
        <t xml:space="preserve">Pagada, Vencida, Vence hoy, Por vencer o Exceso sin imputar según fecha y saldo al corte.</t>
      </text>
    </comment>
    <comment authorId="0" ref="T220">
      <text>
        <t xml:space="preserve">Auxiliar para encontrar la primera cuota pendiente. El 999999 indica que esta cuota no tiene saldo pendiente o está fuera del plazo, y no es una fecha real.</t>
      </text>
    </comment>
    <comment authorId="0" ref="C221">
      <text>
        <t xml:space="preserve">Crédito al que corresponde esta cuota.</t>
      </text>
    </comment>
    <comment authorId="0" ref="D221">
      <text>
        <t xml:space="preserve">Número de cuota dentro del crédito.</t>
      </text>
    </comment>
    <comment authorId="0" ref="E221">
      <text>
        <t xml:space="preserve">Fecha según EDATE a partir del primer vencimiento. No ajusta automáticamente feriados.</t>
      </text>
    </comment>
    <comment authorId="0" ref="F221">
      <text>
        <t xml:space="preserve">Capital al inicio del período en el calendario ORIGINAL, sin recalcular por pagos reales.</t>
      </text>
    </comment>
    <comment authorId="0" ref="G221">
      <text>
        <t xml:space="preserve">Tasa efectiva del mes según la base ingresada.</t>
      </text>
    </comment>
    <comment authorId="0" ref="H221">
      <text>
        <t xml:space="preserve">Interés del período = capital inicial × tasa mensual, redondeado a dos decimales.</t>
      </text>
    </comment>
    <comment authorId="0" ref="I221">
      <text>
        <t xml:space="preserve">Capital e interés pactados. La última cuota ajusta el saldo por redondeo.</t>
      </text>
    </comment>
    <comment authorId="0" ref="J221">
      <text>
        <t xml:space="preserve">Capital amortizado TEÓRICO = cuota base − interés, limitado al saldo.</t>
      </text>
    </comment>
    <comment authorId="0" ref="K221">
      <text>
        <t xml:space="preserve">Seguro y otros cargos fijos del mes.</t>
      </text>
    </comment>
    <comment authorId="0" ref="L221">
      <text>
        <t xml:space="preserve">Cuota base + cargos.</t>
      </text>
    </comment>
    <comment authorId="0" ref="M221">
      <text>
        <t xml:space="preserve">Capital final del calendario teórico. No equivale al saldo real si hay pagos parciales o atrasos.</t>
      </text>
    </comment>
    <comment authorId="0" ref="N221">
      <text>
        <t xml:space="preserve">Suma de pagos válidos del mismo ID y cuota con fecha igual o anterior al corte.</t>
      </text>
    </comment>
    <comment authorId="0" ref="O221">
      <text>
        <t xml:space="preserve">MIN(amortización pactada; MAX(0; pagado − cargos − interés)). No imputa excedentes a otras cuotas.</t>
      </text>
    </comment>
    <comment authorId="0" ref="P221">
      <text>
        <t xml:space="preserve">MAX(0; total pactado − pagado a esta cuota). Incluye capital, interés y cargos pendientes de ESA cuota.</t>
      </text>
    </comment>
    <comment authorId="0" ref="Q221">
      <text>
        <t xml:space="preserve">Días desde vencimiento hasta corte, solo si venció antes del corte y sigue con saldo.</t>
      </text>
    </comment>
    <comment authorId="0" ref="R221">
      <text>
        <t xml:space="preserve">MAX(0; pagado − cuota pactada). Exceso para revisar: no se traspasa a otra cuota.</t>
      </text>
    </comment>
    <comment authorId="0" ref="S221">
      <text>
        <t xml:space="preserve">Pagada, Vencida, Vence hoy, Por vencer o Exceso sin imputar según fecha y saldo al corte.</t>
      </text>
    </comment>
    <comment authorId="0" ref="T221">
      <text>
        <t xml:space="preserve">Auxiliar para encontrar la primera cuota pendiente. El 999999 indica que esta cuota no tiene saldo pendiente o está fuera del plazo, y no es una fecha real.</t>
      </text>
    </comment>
    <comment authorId="0" ref="C222">
      <text>
        <t xml:space="preserve">Crédito al que corresponde esta cuota.</t>
      </text>
    </comment>
    <comment authorId="0" ref="D222">
      <text>
        <t xml:space="preserve">Número de cuota dentro del crédito.</t>
      </text>
    </comment>
    <comment authorId="0" ref="E222">
      <text>
        <t xml:space="preserve">Fecha según EDATE a partir del primer vencimiento. No ajusta automáticamente feriados.</t>
      </text>
    </comment>
    <comment authorId="0" ref="F222">
      <text>
        <t xml:space="preserve">Capital al inicio del período en el calendario ORIGINAL, sin recalcular por pagos reales.</t>
      </text>
    </comment>
    <comment authorId="0" ref="G222">
      <text>
        <t xml:space="preserve">Tasa efectiva del mes según la base ingresada.</t>
      </text>
    </comment>
    <comment authorId="0" ref="H222">
      <text>
        <t xml:space="preserve">Interés del período = capital inicial × tasa mensual, redondeado a dos decimales.</t>
      </text>
    </comment>
    <comment authorId="0" ref="I222">
      <text>
        <t xml:space="preserve">Capital e interés pactados. La última cuota ajusta el saldo por redondeo.</t>
      </text>
    </comment>
    <comment authorId="0" ref="J222">
      <text>
        <t xml:space="preserve">Capital amortizado TEÓRICO = cuota base − interés, limitado al saldo.</t>
      </text>
    </comment>
    <comment authorId="0" ref="K222">
      <text>
        <t xml:space="preserve">Seguro y otros cargos fijos del mes.</t>
      </text>
    </comment>
    <comment authorId="0" ref="L222">
      <text>
        <t xml:space="preserve">Cuota base + cargos.</t>
      </text>
    </comment>
    <comment authorId="0" ref="M222">
      <text>
        <t xml:space="preserve">Capital final del calendario teórico. No equivale al saldo real si hay pagos parciales o atrasos.</t>
      </text>
    </comment>
    <comment authorId="0" ref="N222">
      <text>
        <t xml:space="preserve">Suma de pagos válidos del mismo ID y cuota con fecha igual o anterior al corte.</t>
      </text>
    </comment>
    <comment authorId="0" ref="O222">
      <text>
        <t xml:space="preserve">MIN(amortización pactada; MAX(0; pagado − cargos − interés)). No imputa excedentes a otras cuotas.</t>
      </text>
    </comment>
    <comment authorId="0" ref="P222">
      <text>
        <t xml:space="preserve">MAX(0; total pactado − pagado a esta cuota). Incluye capital, interés y cargos pendientes de ESA cuota.</t>
      </text>
    </comment>
    <comment authorId="0" ref="Q222">
      <text>
        <t xml:space="preserve">Días desde vencimiento hasta corte, solo si venció antes del corte y sigue con saldo.</t>
      </text>
    </comment>
    <comment authorId="0" ref="R222">
      <text>
        <t xml:space="preserve">MAX(0; pagado − cuota pactada). Exceso para revisar: no se traspasa a otra cuota.</t>
      </text>
    </comment>
    <comment authorId="0" ref="S222">
      <text>
        <t xml:space="preserve">Pagada, Vencida, Vence hoy, Por vencer o Exceso sin imputar según fecha y saldo al corte.</t>
      </text>
    </comment>
    <comment authorId="0" ref="T222">
      <text>
        <t xml:space="preserve">Auxiliar para encontrar la primera cuota pendiente. El 999999 indica que esta cuota no tiene saldo pendiente o está fuera del plazo, y no es una fecha real.</t>
      </text>
    </comment>
    <comment authorId="0" ref="C223">
      <text>
        <t xml:space="preserve">Crédito al que corresponde esta cuota.</t>
      </text>
    </comment>
    <comment authorId="0" ref="D223">
      <text>
        <t xml:space="preserve">Número de cuota dentro del crédito.</t>
      </text>
    </comment>
    <comment authorId="0" ref="E223">
      <text>
        <t xml:space="preserve">Fecha según EDATE a partir del primer vencimiento. No ajusta automáticamente feriados.</t>
      </text>
    </comment>
    <comment authorId="0" ref="F223">
      <text>
        <t xml:space="preserve">Capital al inicio del período en el calendario ORIGINAL, sin recalcular por pagos reales.</t>
      </text>
    </comment>
    <comment authorId="0" ref="G223">
      <text>
        <t xml:space="preserve">Tasa efectiva del mes según la base ingresada.</t>
      </text>
    </comment>
    <comment authorId="0" ref="H223">
      <text>
        <t xml:space="preserve">Interés del período = capital inicial × tasa mensual, redondeado a dos decimales.</t>
      </text>
    </comment>
    <comment authorId="0" ref="I223">
      <text>
        <t xml:space="preserve">Capital e interés pactados. La última cuota ajusta el saldo por redondeo.</t>
      </text>
    </comment>
    <comment authorId="0" ref="J223">
      <text>
        <t xml:space="preserve">Capital amortizado TEÓRICO = cuota base − interés, limitado al saldo.</t>
      </text>
    </comment>
    <comment authorId="0" ref="K223">
      <text>
        <t xml:space="preserve">Seguro y otros cargos fijos del mes.</t>
      </text>
    </comment>
    <comment authorId="0" ref="L223">
      <text>
        <t xml:space="preserve">Cuota base + cargos.</t>
      </text>
    </comment>
    <comment authorId="0" ref="M223">
      <text>
        <t xml:space="preserve">Capital final del calendario teórico. No equivale al saldo real si hay pagos parciales o atrasos.</t>
      </text>
    </comment>
    <comment authorId="0" ref="N223">
      <text>
        <t xml:space="preserve">Suma de pagos válidos del mismo ID y cuota con fecha igual o anterior al corte.</t>
      </text>
    </comment>
    <comment authorId="0" ref="O223">
      <text>
        <t xml:space="preserve">MIN(amortización pactada; MAX(0; pagado − cargos − interés)). No imputa excedentes a otras cuotas.</t>
      </text>
    </comment>
    <comment authorId="0" ref="P223">
      <text>
        <t xml:space="preserve">MAX(0; total pactado − pagado a esta cuota). Incluye capital, interés y cargos pendientes de ESA cuota.</t>
      </text>
    </comment>
    <comment authorId="0" ref="Q223">
      <text>
        <t xml:space="preserve">Días desde vencimiento hasta corte, solo si venció antes del corte y sigue con saldo.</t>
      </text>
    </comment>
    <comment authorId="0" ref="R223">
      <text>
        <t xml:space="preserve">MAX(0; pagado − cuota pactada). Exceso para revisar: no se traspasa a otra cuota.</t>
      </text>
    </comment>
    <comment authorId="0" ref="S223">
      <text>
        <t xml:space="preserve">Pagada, Vencida, Vence hoy, Por vencer o Exceso sin imputar según fecha y saldo al corte.</t>
      </text>
    </comment>
    <comment authorId="0" ref="T223">
      <text>
        <t xml:space="preserve">Auxiliar para encontrar la primera cuota pendiente. El 999999 indica que esta cuota no tiene saldo pendiente o está fuera del plazo, y no es una fecha real.</t>
      </text>
    </comment>
    <comment authorId="0" ref="C224">
      <text>
        <t xml:space="preserve">Crédito al que corresponde esta cuota.</t>
      </text>
    </comment>
    <comment authorId="0" ref="D224">
      <text>
        <t xml:space="preserve">Número de cuota dentro del crédito.</t>
      </text>
    </comment>
    <comment authorId="0" ref="E224">
      <text>
        <t xml:space="preserve">Fecha según EDATE a partir del primer vencimiento. No ajusta automáticamente feriados.</t>
      </text>
    </comment>
    <comment authorId="0" ref="F224">
      <text>
        <t xml:space="preserve">Capital al inicio del período en el calendario ORIGINAL, sin recalcular por pagos reales.</t>
      </text>
    </comment>
    <comment authorId="0" ref="G224">
      <text>
        <t xml:space="preserve">Tasa efectiva del mes según la base ingresada.</t>
      </text>
    </comment>
    <comment authorId="0" ref="H224">
      <text>
        <t xml:space="preserve">Interés del período = capital inicial × tasa mensual, redondeado a dos decimales.</t>
      </text>
    </comment>
    <comment authorId="0" ref="I224">
      <text>
        <t xml:space="preserve">Capital e interés pactados. La última cuota ajusta el saldo por redondeo.</t>
      </text>
    </comment>
    <comment authorId="0" ref="J224">
      <text>
        <t xml:space="preserve">Capital amortizado TEÓRICO = cuota base − interés, limitado al saldo.</t>
      </text>
    </comment>
    <comment authorId="0" ref="K224">
      <text>
        <t xml:space="preserve">Seguro y otros cargos fijos del mes.</t>
      </text>
    </comment>
    <comment authorId="0" ref="L224">
      <text>
        <t xml:space="preserve">Cuota base + cargos.</t>
      </text>
    </comment>
    <comment authorId="0" ref="M224">
      <text>
        <t xml:space="preserve">Capital final del calendario teórico. No equivale al saldo real si hay pagos parciales o atrasos.</t>
      </text>
    </comment>
    <comment authorId="0" ref="N224">
      <text>
        <t xml:space="preserve">Suma de pagos válidos del mismo ID y cuota con fecha igual o anterior al corte.</t>
      </text>
    </comment>
    <comment authorId="0" ref="O224">
      <text>
        <t xml:space="preserve">MIN(amortización pactada; MAX(0; pagado − cargos − interés)). No imputa excedentes a otras cuotas.</t>
      </text>
    </comment>
    <comment authorId="0" ref="P224">
      <text>
        <t xml:space="preserve">MAX(0; total pactado − pagado a esta cuota). Incluye capital, interés y cargos pendientes de ESA cuota.</t>
      </text>
    </comment>
    <comment authorId="0" ref="Q224">
      <text>
        <t xml:space="preserve">Días desde vencimiento hasta corte, solo si venció antes del corte y sigue con saldo.</t>
      </text>
    </comment>
    <comment authorId="0" ref="R224">
      <text>
        <t xml:space="preserve">MAX(0; pagado − cuota pactada). Exceso para revisar: no se traspasa a otra cuota.</t>
      </text>
    </comment>
    <comment authorId="0" ref="S224">
      <text>
        <t xml:space="preserve">Pagada, Vencida, Vence hoy, Por vencer o Exceso sin imputar según fecha y saldo al corte.</t>
      </text>
    </comment>
    <comment authorId="0" ref="T224">
      <text>
        <t xml:space="preserve">Auxiliar para encontrar la primera cuota pendiente. El 999999 indica que esta cuota no tiene saldo pendiente o está fuera del plazo, y no es una fecha real.</t>
      </text>
    </comment>
    <comment authorId="0" ref="C225">
      <text>
        <t xml:space="preserve">Crédito al que corresponde esta cuota.</t>
      </text>
    </comment>
    <comment authorId="0" ref="D225">
      <text>
        <t xml:space="preserve">Número de cuota dentro del crédito.</t>
      </text>
    </comment>
    <comment authorId="0" ref="E225">
      <text>
        <t xml:space="preserve">Fecha según EDATE a partir del primer vencimiento. No ajusta automáticamente feriados.</t>
      </text>
    </comment>
    <comment authorId="0" ref="F225">
      <text>
        <t xml:space="preserve">Capital al inicio del período en el calendario ORIGINAL, sin recalcular por pagos reales.</t>
      </text>
    </comment>
    <comment authorId="0" ref="G225">
      <text>
        <t xml:space="preserve">Tasa efectiva del mes según la base ingresada.</t>
      </text>
    </comment>
    <comment authorId="0" ref="H225">
      <text>
        <t xml:space="preserve">Interés del período = capital inicial × tasa mensual, redondeado a dos decimales.</t>
      </text>
    </comment>
    <comment authorId="0" ref="I225">
      <text>
        <t xml:space="preserve">Capital e interés pactados. La última cuota ajusta el saldo por redondeo.</t>
      </text>
    </comment>
    <comment authorId="0" ref="J225">
      <text>
        <t xml:space="preserve">Capital amortizado TEÓRICO = cuota base − interés, limitado al saldo.</t>
      </text>
    </comment>
    <comment authorId="0" ref="K225">
      <text>
        <t xml:space="preserve">Seguro y otros cargos fijos del mes.</t>
      </text>
    </comment>
    <comment authorId="0" ref="L225">
      <text>
        <t xml:space="preserve">Cuota base + cargos.</t>
      </text>
    </comment>
    <comment authorId="0" ref="M225">
      <text>
        <t xml:space="preserve">Capital final del calendario teórico. No equivale al saldo real si hay pagos parciales o atrasos.</t>
      </text>
    </comment>
    <comment authorId="0" ref="N225">
      <text>
        <t xml:space="preserve">Suma de pagos válidos del mismo ID y cuota con fecha igual o anterior al corte.</t>
      </text>
    </comment>
    <comment authorId="0" ref="O225">
      <text>
        <t xml:space="preserve">MIN(amortización pactada; MAX(0; pagado − cargos − interés)). No imputa excedentes a otras cuotas.</t>
      </text>
    </comment>
    <comment authorId="0" ref="P225">
      <text>
        <t xml:space="preserve">MAX(0; total pactado − pagado a esta cuota). Incluye capital, interés y cargos pendientes de ESA cuota.</t>
      </text>
    </comment>
    <comment authorId="0" ref="Q225">
      <text>
        <t xml:space="preserve">Días desde vencimiento hasta corte, solo si venció antes del corte y sigue con saldo.</t>
      </text>
    </comment>
    <comment authorId="0" ref="R225">
      <text>
        <t xml:space="preserve">MAX(0; pagado − cuota pactada). Exceso para revisar: no se traspasa a otra cuota.</t>
      </text>
    </comment>
    <comment authorId="0" ref="S225">
      <text>
        <t xml:space="preserve">Pagada, Vencida, Vence hoy, Por vencer o Exceso sin imputar según fecha y saldo al corte.</t>
      </text>
    </comment>
    <comment authorId="0" ref="T225">
      <text>
        <t xml:space="preserve">Auxiliar para encontrar la primera cuota pendiente. El 999999 indica que esta cuota no tiene saldo pendiente o está fuera del plazo, y no es una fecha real.</t>
      </text>
    </comment>
    <comment authorId="0" ref="C226">
      <text>
        <t xml:space="preserve">Crédito al que corresponde esta cuota.</t>
      </text>
    </comment>
    <comment authorId="0" ref="D226">
      <text>
        <t xml:space="preserve">Número de cuota dentro del crédito.</t>
      </text>
    </comment>
    <comment authorId="0" ref="E226">
      <text>
        <t xml:space="preserve">Fecha según EDATE a partir del primer vencimiento. No ajusta automáticamente feriados.</t>
      </text>
    </comment>
    <comment authorId="0" ref="F226">
      <text>
        <t xml:space="preserve">Capital al inicio del período en el calendario ORIGINAL, sin recalcular por pagos reales.</t>
      </text>
    </comment>
    <comment authorId="0" ref="G226">
      <text>
        <t xml:space="preserve">Tasa efectiva del mes según la base ingresada.</t>
      </text>
    </comment>
    <comment authorId="0" ref="H226">
      <text>
        <t xml:space="preserve">Interés del período = capital inicial × tasa mensual, redondeado a dos decimales.</t>
      </text>
    </comment>
    <comment authorId="0" ref="I226">
      <text>
        <t xml:space="preserve">Capital e interés pactados. La última cuota ajusta el saldo por redondeo.</t>
      </text>
    </comment>
    <comment authorId="0" ref="J226">
      <text>
        <t xml:space="preserve">Capital amortizado TEÓRICO = cuota base − interés, limitado al saldo.</t>
      </text>
    </comment>
    <comment authorId="0" ref="K226">
      <text>
        <t xml:space="preserve">Seguro y otros cargos fijos del mes.</t>
      </text>
    </comment>
    <comment authorId="0" ref="L226">
      <text>
        <t xml:space="preserve">Cuota base + cargos.</t>
      </text>
    </comment>
    <comment authorId="0" ref="M226">
      <text>
        <t xml:space="preserve">Capital final del calendario teórico. No equivale al saldo real si hay pagos parciales o atrasos.</t>
      </text>
    </comment>
    <comment authorId="0" ref="N226">
      <text>
        <t xml:space="preserve">Suma de pagos válidos del mismo ID y cuota con fecha igual o anterior al corte.</t>
      </text>
    </comment>
    <comment authorId="0" ref="O226">
      <text>
        <t xml:space="preserve">MIN(amortización pactada; MAX(0; pagado − cargos − interés)). No imputa excedentes a otras cuotas.</t>
      </text>
    </comment>
    <comment authorId="0" ref="P226">
      <text>
        <t xml:space="preserve">MAX(0; total pactado − pagado a esta cuota). Incluye capital, interés y cargos pendientes de ESA cuota.</t>
      </text>
    </comment>
    <comment authorId="0" ref="Q226">
      <text>
        <t xml:space="preserve">Días desde vencimiento hasta corte, solo si venció antes del corte y sigue con saldo.</t>
      </text>
    </comment>
    <comment authorId="0" ref="R226">
      <text>
        <t xml:space="preserve">MAX(0; pagado − cuota pactada). Exceso para revisar: no se traspasa a otra cuota.</t>
      </text>
    </comment>
    <comment authorId="0" ref="S226">
      <text>
        <t xml:space="preserve">Pagada, Vencida, Vence hoy, Por vencer o Exceso sin imputar según fecha y saldo al corte.</t>
      </text>
    </comment>
    <comment authorId="0" ref="T226">
      <text>
        <t xml:space="preserve">Auxiliar para encontrar la primera cuota pendiente. El 999999 indica que esta cuota no tiene saldo pendiente o está fuera del plazo, y no es una fecha real.</t>
      </text>
    </comment>
    <comment authorId="0" ref="C227">
      <text>
        <t xml:space="preserve">Crédito al que corresponde esta cuota.</t>
      </text>
    </comment>
    <comment authorId="0" ref="D227">
      <text>
        <t xml:space="preserve">Número de cuota dentro del crédito.</t>
      </text>
    </comment>
    <comment authorId="0" ref="E227">
      <text>
        <t xml:space="preserve">Fecha según EDATE a partir del primer vencimiento. No ajusta automáticamente feriados.</t>
      </text>
    </comment>
    <comment authorId="0" ref="F227">
      <text>
        <t xml:space="preserve">Capital al inicio del período en el calendario ORIGINAL, sin recalcular por pagos reales.</t>
      </text>
    </comment>
    <comment authorId="0" ref="G227">
      <text>
        <t xml:space="preserve">Tasa efectiva del mes según la base ingresada.</t>
      </text>
    </comment>
    <comment authorId="0" ref="H227">
      <text>
        <t xml:space="preserve">Interés del período = capital inicial × tasa mensual, redondeado a dos decimales.</t>
      </text>
    </comment>
    <comment authorId="0" ref="I227">
      <text>
        <t xml:space="preserve">Capital e interés pactados. La última cuota ajusta el saldo por redondeo.</t>
      </text>
    </comment>
    <comment authorId="0" ref="J227">
      <text>
        <t xml:space="preserve">Capital amortizado TEÓRICO = cuota base − interés, limitado al saldo.</t>
      </text>
    </comment>
    <comment authorId="0" ref="K227">
      <text>
        <t xml:space="preserve">Seguro y otros cargos fijos del mes.</t>
      </text>
    </comment>
    <comment authorId="0" ref="L227">
      <text>
        <t xml:space="preserve">Cuota base + cargos.</t>
      </text>
    </comment>
    <comment authorId="0" ref="M227">
      <text>
        <t xml:space="preserve">Capital final del calendario teórico. No equivale al saldo real si hay pagos parciales o atrasos.</t>
      </text>
    </comment>
    <comment authorId="0" ref="N227">
      <text>
        <t xml:space="preserve">Suma de pagos válidos del mismo ID y cuota con fecha igual o anterior al corte.</t>
      </text>
    </comment>
    <comment authorId="0" ref="O227">
      <text>
        <t xml:space="preserve">MIN(amortización pactada; MAX(0; pagado − cargos − interés)). No imputa excedentes a otras cuotas.</t>
      </text>
    </comment>
    <comment authorId="0" ref="P227">
      <text>
        <t xml:space="preserve">MAX(0; total pactado − pagado a esta cuota). Incluye capital, interés y cargos pendientes de ESA cuota.</t>
      </text>
    </comment>
    <comment authorId="0" ref="Q227">
      <text>
        <t xml:space="preserve">Días desde vencimiento hasta corte, solo si venció antes del corte y sigue con saldo.</t>
      </text>
    </comment>
    <comment authorId="0" ref="R227">
      <text>
        <t xml:space="preserve">MAX(0; pagado − cuota pactada). Exceso para revisar: no se traspasa a otra cuota.</t>
      </text>
    </comment>
    <comment authorId="0" ref="S227">
      <text>
        <t xml:space="preserve">Pagada, Vencida, Vence hoy, Por vencer o Exceso sin imputar según fecha y saldo al corte.</t>
      </text>
    </comment>
    <comment authorId="0" ref="T227">
      <text>
        <t xml:space="preserve">Auxiliar para encontrar la primera cuota pendiente. El 999999 indica que esta cuota no tiene saldo pendiente o está fuera del plazo, y no es una fecha real.</t>
      </text>
    </comment>
    <comment authorId="0" ref="C228">
      <text>
        <t xml:space="preserve">Crédito al que corresponde esta cuota.</t>
      </text>
    </comment>
    <comment authorId="0" ref="D228">
      <text>
        <t xml:space="preserve">Número de cuota dentro del crédito.</t>
      </text>
    </comment>
    <comment authorId="0" ref="E228">
      <text>
        <t xml:space="preserve">Fecha según EDATE a partir del primer vencimiento. No ajusta automáticamente feriados.</t>
      </text>
    </comment>
    <comment authorId="0" ref="F228">
      <text>
        <t xml:space="preserve">Capital al inicio del período en el calendario ORIGINAL, sin recalcular por pagos reales.</t>
      </text>
    </comment>
    <comment authorId="0" ref="G228">
      <text>
        <t xml:space="preserve">Tasa efectiva del mes según la base ingresada.</t>
      </text>
    </comment>
    <comment authorId="0" ref="H228">
      <text>
        <t xml:space="preserve">Interés del período = capital inicial × tasa mensual, redondeado a dos decimales.</t>
      </text>
    </comment>
    <comment authorId="0" ref="I228">
      <text>
        <t xml:space="preserve">Capital e interés pactados. La última cuota ajusta el saldo por redondeo.</t>
      </text>
    </comment>
    <comment authorId="0" ref="J228">
      <text>
        <t xml:space="preserve">Capital amortizado TEÓRICO = cuota base − interés, limitado al saldo.</t>
      </text>
    </comment>
    <comment authorId="0" ref="K228">
      <text>
        <t xml:space="preserve">Seguro y otros cargos fijos del mes.</t>
      </text>
    </comment>
    <comment authorId="0" ref="L228">
      <text>
        <t xml:space="preserve">Cuota base + cargos.</t>
      </text>
    </comment>
    <comment authorId="0" ref="M228">
      <text>
        <t xml:space="preserve">Capital final del calendario teórico. No equivale al saldo real si hay pagos parciales o atrasos.</t>
      </text>
    </comment>
    <comment authorId="0" ref="N228">
      <text>
        <t xml:space="preserve">Suma de pagos válidos del mismo ID y cuota con fecha igual o anterior al corte.</t>
      </text>
    </comment>
    <comment authorId="0" ref="O228">
      <text>
        <t xml:space="preserve">MIN(amortización pactada; MAX(0; pagado − cargos − interés)). No imputa excedentes a otras cuotas.</t>
      </text>
    </comment>
    <comment authorId="0" ref="P228">
      <text>
        <t xml:space="preserve">MAX(0; total pactado − pagado a esta cuota). Incluye capital, interés y cargos pendientes de ESA cuota.</t>
      </text>
    </comment>
    <comment authorId="0" ref="Q228">
      <text>
        <t xml:space="preserve">Días desde vencimiento hasta corte, solo si venció antes del corte y sigue con saldo.</t>
      </text>
    </comment>
    <comment authorId="0" ref="R228">
      <text>
        <t xml:space="preserve">MAX(0; pagado − cuota pactada). Exceso para revisar: no se traspasa a otra cuota.</t>
      </text>
    </comment>
    <comment authorId="0" ref="S228">
      <text>
        <t xml:space="preserve">Pagada, Vencida, Vence hoy, Por vencer o Exceso sin imputar según fecha y saldo al corte.</t>
      </text>
    </comment>
    <comment authorId="0" ref="T228">
      <text>
        <t xml:space="preserve">Auxiliar para encontrar la primera cuota pendiente. El 999999 indica que esta cuota no tiene saldo pendiente o está fuera del plazo, y no es una fecha real.</t>
      </text>
    </comment>
    <comment authorId="0" ref="C229">
      <text>
        <t xml:space="preserve">Crédito al que corresponde esta cuota.</t>
      </text>
    </comment>
    <comment authorId="0" ref="D229">
      <text>
        <t xml:space="preserve">Número de cuota dentro del crédito.</t>
      </text>
    </comment>
    <comment authorId="0" ref="E229">
      <text>
        <t xml:space="preserve">Fecha según EDATE a partir del primer vencimiento. No ajusta automáticamente feriados.</t>
      </text>
    </comment>
    <comment authorId="0" ref="F229">
      <text>
        <t xml:space="preserve">Capital al inicio del período en el calendario ORIGINAL, sin recalcular por pagos reales.</t>
      </text>
    </comment>
    <comment authorId="0" ref="G229">
      <text>
        <t xml:space="preserve">Tasa efectiva del mes según la base ingresada.</t>
      </text>
    </comment>
    <comment authorId="0" ref="H229">
      <text>
        <t xml:space="preserve">Interés del período = capital inicial × tasa mensual, redondeado a dos decimales.</t>
      </text>
    </comment>
    <comment authorId="0" ref="I229">
      <text>
        <t xml:space="preserve">Capital e interés pactados. La última cuota ajusta el saldo por redondeo.</t>
      </text>
    </comment>
    <comment authorId="0" ref="J229">
      <text>
        <t xml:space="preserve">Capital amortizado TEÓRICO = cuota base − interés, limitado al saldo.</t>
      </text>
    </comment>
    <comment authorId="0" ref="K229">
      <text>
        <t xml:space="preserve">Seguro y otros cargos fijos del mes.</t>
      </text>
    </comment>
    <comment authorId="0" ref="L229">
      <text>
        <t xml:space="preserve">Cuota base + cargos.</t>
      </text>
    </comment>
    <comment authorId="0" ref="M229">
      <text>
        <t xml:space="preserve">Capital final del calendario teórico. No equivale al saldo real si hay pagos parciales o atrasos.</t>
      </text>
    </comment>
    <comment authorId="0" ref="N229">
      <text>
        <t xml:space="preserve">Suma de pagos válidos del mismo ID y cuota con fecha igual o anterior al corte.</t>
      </text>
    </comment>
    <comment authorId="0" ref="O229">
      <text>
        <t xml:space="preserve">MIN(amortización pactada; MAX(0; pagado − cargos − interés)). No imputa excedentes a otras cuotas.</t>
      </text>
    </comment>
    <comment authorId="0" ref="P229">
      <text>
        <t xml:space="preserve">MAX(0; total pactado − pagado a esta cuota). Incluye capital, interés y cargos pendientes de ESA cuota.</t>
      </text>
    </comment>
    <comment authorId="0" ref="Q229">
      <text>
        <t xml:space="preserve">Días desde vencimiento hasta corte, solo si venció antes del corte y sigue con saldo.</t>
      </text>
    </comment>
    <comment authorId="0" ref="R229">
      <text>
        <t xml:space="preserve">MAX(0; pagado − cuota pactada). Exceso para revisar: no se traspasa a otra cuota.</t>
      </text>
    </comment>
    <comment authorId="0" ref="S229">
      <text>
        <t xml:space="preserve">Pagada, Vencida, Vence hoy, Por vencer o Exceso sin imputar según fecha y saldo al corte.</t>
      </text>
    </comment>
    <comment authorId="0" ref="T229">
      <text>
        <t xml:space="preserve">Auxiliar para encontrar la primera cuota pendiente. El 999999 indica que esta cuota no tiene saldo pendiente o está fuera del plazo, y no es una fecha real.</t>
      </text>
    </comment>
    <comment authorId="0" ref="C230">
      <text>
        <t xml:space="preserve">Crédito al que corresponde esta cuota.</t>
      </text>
    </comment>
    <comment authorId="0" ref="D230">
      <text>
        <t xml:space="preserve">Número de cuota dentro del crédito.</t>
      </text>
    </comment>
    <comment authorId="0" ref="E230">
      <text>
        <t xml:space="preserve">Fecha según EDATE a partir del primer vencimiento. No ajusta automáticamente feriados.</t>
      </text>
    </comment>
    <comment authorId="0" ref="F230">
      <text>
        <t xml:space="preserve">Capital al inicio del período en el calendario ORIGINAL, sin recalcular por pagos reales.</t>
      </text>
    </comment>
    <comment authorId="0" ref="G230">
      <text>
        <t xml:space="preserve">Tasa efectiva del mes según la base ingresada.</t>
      </text>
    </comment>
    <comment authorId="0" ref="H230">
      <text>
        <t xml:space="preserve">Interés del período = capital inicial × tasa mensual, redondeado a dos decimales.</t>
      </text>
    </comment>
    <comment authorId="0" ref="I230">
      <text>
        <t xml:space="preserve">Capital e interés pactados. La última cuota ajusta el saldo por redondeo.</t>
      </text>
    </comment>
    <comment authorId="0" ref="J230">
      <text>
        <t xml:space="preserve">Capital amortizado TEÓRICO = cuota base − interés, limitado al saldo.</t>
      </text>
    </comment>
    <comment authorId="0" ref="K230">
      <text>
        <t xml:space="preserve">Seguro y otros cargos fijos del mes.</t>
      </text>
    </comment>
    <comment authorId="0" ref="L230">
      <text>
        <t xml:space="preserve">Cuota base + cargos.</t>
      </text>
    </comment>
    <comment authorId="0" ref="M230">
      <text>
        <t xml:space="preserve">Capital final del calendario teórico. No equivale al saldo real si hay pagos parciales o atrasos.</t>
      </text>
    </comment>
    <comment authorId="0" ref="N230">
      <text>
        <t xml:space="preserve">Suma de pagos válidos del mismo ID y cuota con fecha igual o anterior al corte.</t>
      </text>
    </comment>
    <comment authorId="0" ref="O230">
      <text>
        <t xml:space="preserve">MIN(amortización pactada; MAX(0; pagado − cargos − interés)). No imputa excedentes a otras cuotas.</t>
      </text>
    </comment>
    <comment authorId="0" ref="P230">
      <text>
        <t xml:space="preserve">MAX(0; total pactado − pagado a esta cuota). Incluye capital, interés y cargos pendientes de ESA cuota.</t>
      </text>
    </comment>
    <comment authorId="0" ref="Q230">
      <text>
        <t xml:space="preserve">Días desde vencimiento hasta corte, solo si venció antes del corte y sigue con saldo.</t>
      </text>
    </comment>
    <comment authorId="0" ref="R230">
      <text>
        <t xml:space="preserve">MAX(0; pagado − cuota pactada). Exceso para revisar: no se traspasa a otra cuota.</t>
      </text>
    </comment>
    <comment authorId="0" ref="S230">
      <text>
        <t xml:space="preserve">Pagada, Vencida, Vence hoy, Por vencer o Exceso sin imputar según fecha y saldo al corte.</t>
      </text>
    </comment>
    <comment authorId="0" ref="T230">
      <text>
        <t xml:space="preserve">Auxiliar para encontrar la primera cuota pendiente. El 999999 indica que esta cuota no tiene saldo pendiente o está fuera del plazo, y no es una fecha real.</t>
      </text>
    </comment>
    <comment authorId="0" ref="C231">
      <text>
        <t xml:space="preserve">Crédito al que corresponde esta cuota.</t>
      </text>
    </comment>
    <comment authorId="0" ref="D231">
      <text>
        <t xml:space="preserve">Número de cuota dentro del crédito.</t>
      </text>
    </comment>
    <comment authorId="0" ref="E231">
      <text>
        <t xml:space="preserve">Fecha según EDATE a partir del primer vencimiento. No ajusta automáticamente feriados.</t>
      </text>
    </comment>
    <comment authorId="0" ref="F231">
      <text>
        <t xml:space="preserve">Capital al inicio del período en el calendario ORIGINAL, sin recalcular por pagos reales.</t>
      </text>
    </comment>
    <comment authorId="0" ref="G231">
      <text>
        <t xml:space="preserve">Tasa efectiva del mes según la base ingresada.</t>
      </text>
    </comment>
    <comment authorId="0" ref="H231">
      <text>
        <t xml:space="preserve">Interés del período = capital inicial × tasa mensual, redondeado a dos decimales.</t>
      </text>
    </comment>
    <comment authorId="0" ref="I231">
      <text>
        <t xml:space="preserve">Capital e interés pactados. La última cuota ajusta el saldo por redondeo.</t>
      </text>
    </comment>
    <comment authorId="0" ref="J231">
      <text>
        <t xml:space="preserve">Capital amortizado TEÓRICO = cuota base − interés, limitado al saldo.</t>
      </text>
    </comment>
    <comment authorId="0" ref="K231">
      <text>
        <t xml:space="preserve">Seguro y otros cargos fijos del mes.</t>
      </text>
    </comment>
    <comment authorId="0" ref="L231">
      <text>
        <t xml:space="preserve">Cuota base + cargos.</t>
      </text>
    </comment>
    <comment authorId="0" ref="M231">
      <text>
        <t xml:space="preserve">Capital final del calendario teórico. No equivale al saldo real si hay pagos parciales o atrasos.</t>
      </text>
    </comment>
    <comment authorId="0" ref="N231">
      <text>
        <t xml:space="preserve">Suma de pagos válidos del mismo ID y cuota con fecha igual o anterior al corte.</t>
      </text>
    </comment>
    <comment authorId="0" ref="O231">
      <text>
        <t xml:space="preserve">MIN(amortización pactada; MAX(0; pagado − cargos − interés)). No imputa excedentes a otras cuotas.</t>
      </text>
    </comment>
    <comment authorId="0" ref="P231">
      <text>
        <t xml:space="preserve">MAX(0; total pactado − pagado a esta cuota). Incluye capital, interés y cargos pendientes de ESA cuota.</t>
      </text>
    </comment>
    <comment authorId="0" ref="Q231">
      <text>
        <t xml:space="preserve">Días desde vencimiento hasta corte, solo si venció antes del corte y sigue con saldo.</t>
      </text>
    </comment>
    <comment authorId="0" ref="R231">
      <text>
        <t xml:space="preserve">MAX(0; pagado − cuota pactada). Exceso para revisar: no se traspasa a otra cuota.</t>
      </text>
    </comment>
    <comment authorId="0" ref="S231">
      <text>
        <t xml:space="preserve">Pagada, Vencida, Vence hoy, Por vencer o Exceso sin imputar según fecha y saldo al corte.</t>
      </text>
    </comment>
    <comment authorId="0" ref="T231">
      <text>
        <t xml:space="preserve">Auxiliar para encontrar la primera cuota pendiente. El 999999 indica que esta cuota no tiene saldo pendiente o está fuera del plazo, y no es una fecha real.</t>
      </text>
    </comment>
    <comment authorId="0" ref="C232">
      <text>
        <t xml:space="preserve">Crédito al que corresponde esta cuota.</t>
      </text>
    </comment>
    <comment authorId="0" ref="D232">
      <text>
        <t xml:space="preserve">Número de cuota dentro del crédito.</t>
      </text>
    </comment>
    <comment authorId="0" ref="E232">
      <text>
        <t xml:space="preserve">Fecha según EDATE a partir del primer vencimiento. No ajusta automáticamente feriados.</t>
      </text>
    </comment>
    <comment authorId="0" ref="F232">
      <text>
        <t xml:space="preserve">Capital al inicio del período en el calendario ORIGINAL, sin recalcular por pagos reales.</t>
      </text>
    </comment>
    <comment authorId="0" ref="G232">
      <text>
        <t xml:space="preserve">Tasa efectiva del mes según la base ingresada.</t>
      </text>
    </comment>
    <comment authorId="0" ref="H232">
      <text>
        <t xml:space="preserve">Interés del período = capital inicial × tasa mensual, redondeado a dos decimales.</t>
      </text>
    </comment>
    <comment authorId="0" ref="I232">
      <text>
        <t xml:space="preserve">Capital e interés pactados. La última cuota ajusta el saldo por redondeo.</t>
      </text>
    </comment>
    <comment authorId="0" ref="J232">
      <text>
        <t xml:space="preserve">Capital amortizado TEÓRICO = cuota base − interés, limitado al saldo.</t>
      </text>
    </comment>
    <comment authorId="0" ref="K232">
      <text>
        <t xml:space="preserve">Seguro y otros cargos fijos del mes.</t>
      </text>
    </comment>
    <comment authorId="0" ref="L232">
      <text>
        <t xml:space="preserve">Cuota base + cargos.</t>
      </text>
    </comment>
    <comment authorId="0" ref="M232">
      <text>
        <t xml:space="preserve">Capital final del calendario teórico. No equivale al saldo real si hay pagos parciales o atrasos.</t>
      </text>
    </comment>
    <comment authorId="0" ref="N232">
      <text>
        <t xml:space="preserve">Suma de pagos válidos del mismo ID y cuota con fecha igual o anterior al corte.</t>
      </text>
    </comment>
    <comment authorId="0" ref="O232">
      <text>
        <t xml:space="preserve">MIN(amortización pactada; MAX(0; pagado − cargos − interés)). No imputa excedentes a otras cuotas.</t>
      </text>
    </comment>
    <comment authorId="0" ref="P232">
      <text>
        <t xml:space="preserve">MAX(0; total pactado − pagado a esta cuota). Incluye capital, interés y cargos pendientes de ESA cuota.</t>
      </text>
    </comment>
    <comment authorId="0" ref="Q232">
      <text>
        <t xml:space="preserve">Días desde vencimiento hasta corte, solo si venció antes del corte y sigue con saldo.</t>
      </text>
    </comment>
    <comment authorId="0" ref="R232">
      <text>
        <t xml:space="preserve">MAX(0; pagado − cuota pactada). Exceso para revisar: no se traspasa a otra cuota.</t>
      </text>
    </comment>
    <comment authorId="0" ref="S232">
      <text>
        <t xml:space="preserve">Pagada, Vencida, Vence hoy, Por vencer o Exceso sin imputar según fecha y saldo al corte.</t>
      </text>
    </comment>
    <comment authorId="0" ref="T232">
      <text>
        <t xml:space="preserve">Auxiliar para encontrar la primera cuota pendiente. El 999999 indica que esta cuota no tiene saldo pendiente o está fuera del plazo, y no es una fecha real.</t>
      </text>
    </comment>
    <comment authorId="0" ref="C233">
      <text>
        <t xml:space="preserve">Crédito al que corresponde esta cuota.</t>
      </text>
    </comment>
    <comment authorId="0" ref="D233">
      <text>
        <t xml:space="preserve">Número de cuota dentro del crédito.</t>
      </text>
    </comment>
    <comment authorId="0" ref="E233">
      <text>
        <t xml:space="preserve">Fecha según EDATE a partir del primer vencimiento. No ajusta automáticamente feriados.</t>
      </text>
    </comment>
    <comment authorId="0" ref="F233">
      <text>
        <t xml:space="preserve">Capital al inicio del período en el calendario ORIGINAL, sin recalcular por pagos reales.</t>
      </text>
    </comment>
    <comment authorId="0" ref="G233">
      <text>
        <t xml:space="preserve">Tasa efectiva del mes según la base ingresada.</t>
      </text>
    </comment>
    <comment authorId="0" ref="H233">
      <text>
        <t xml:space="preserve">Interés del período = capital inicial × tasa mensual, redondeado a dos decimales.</t>
      </text>
    </comment>
    <comment authorId="0" ref="I233">
      <text>
        <t xml:space="preserve">Capital e interés pactados. La última cuota ajusta el saldo por redondeo.</t>
      </text>
    </comment>
    <comment authorId="0" ref="J233">
      <text>
        <t xml:space="preserve">Capital amortizado TEÓRICO = cuota base − interés, limitado al saldo.</t>
      </text>
    </comment>
    <comment authorId="0" ref="K233">
      <text>
        <t xml:space="preserve">Seguro y otros cargos fijos del mes.</t>
      </text>
    </comment>
    <comment authorId="0" ref="L233">
      <text>
        <t xml:space="preserve">Cuota base + cargos.</t>
      </text>
    </comment>
    <comment authorId="0" ref="M233">
      <text>
        <t xml:space="preserve">Capital final del calendario teórico. No equivale al saldo real si hay pagos parciales o atrasos.</t>
      </text>
    </comment>
    <comment authorId="0" ref="N233">
      <text>
        <t xml:space="preserve">Suma de pagos válidos del mismo ID y cuota con fecha igual o anterior al corte.</t>
      </text>
    </comment>
    <comment authorId="0" ref="O233">
      <text>
        <t xml:space="preserve">MIN(amortización pactada; MAX(0; pagado − cargos − interés)). No imputa excedentes a otras cuotas.</t>
      </text>
    </comment>
    <comment authorId="0" ref="P233">
      <text>
        <t xml:space="preserve">MAX(0; total pactado − pagado a esta cuota). Incluye capital, interés y cargos pendientes de ESA cuota.</t>
      </text>
    </comment>
    <comment authorId="0" ref="Q233">
      <text>
        <t xml:space="preserve">Días desde vencimiento hasta corte, solo si venció antes del corte y sigue con saldo.</t>
      </text>
    </comment>
    <comment authorId="0" ref="R233">
      <text>
        <t xml:space="preserve">MAX(0; pagado − cuota pactada). Exceso para revisar: no se traspasa a otra cuota.</t>
      </text>
    </comment>
    <comment authorId="0" ref="S233">
      <text>
        <t xml:space="preserve">Pagada, Vencida, Vence hoy, Por vencer o Exceso sin imputar según fecha y saldo al corte.</t>
      </text>
    </comment>
    <comment authorId="0" ref="T233">
      <text>
        <t xml:space="preserve">Auxiliar para encontrar la primera cuota pendiente. El 999999 indica que esta cuota no tiene saldo pendiente o está fuera del plazo, y no es una fecha real.</t>
      </text>
    </comment>
    <comment authorId="0" ref="C234">
      <text>
        <t xml:space="preserve">Crédito al que corresponde esta cuota.</t>
      </text>
    </comment>
    <comment authorId="0" ref="D234">
      <text>
        <t xml:space="preserve">Número de cuota dentro del crédito.</t>
      </text>
    </comment>
    <comment authorId="0" ref="E234">
      <text>
        <t xml:space="preserve">Fecha según EDATE a partir del primer vencimiento. No ajusta automáticamente feriados.</t>
      </text>
    </comment>
    <comment authorId="0" ref="F234">
      <text>
        <t xml:space="preserve">Capital al inicio del período en el calendario ORIGINAL, sin recalcular por pagos reales.</t>
      </text>
    </comment>
    <comment authorId="0" ref="G234">
      <text>
        <t xml:space="preserve">Tasa efectiva del mes según la base ingresada.</t>
      </text>
    </comment>
    <comment authorId="0" ref="H234">
      <text>
        <t xml:space="preserve">Interés del período = capital inicial × tasa mensual, redondeado a dos decimales.</t>
      </text>
    </comment>
    <comment authorId="0" ref="I234">
      <text>
        <t xml:space="preserve">Capital e interés pactados. La última cuota ajusta el saldo por redondeo.</t>
      </text>
    </comment>
    <comment authorId="0" ref="J234">
      <text>
        <t xml:space="preserve">Capital amortizado TEÓRICO = cuota base − interés, limitado al saldo.</t>
      </text>
    </comment>
    <comment authorId="0" ref="K234">
      <text>
        <t xml:space="preserve">Seguro y otros cargos fijos del mes.</t>
      </text>
    </comment>
    <comment authorId="0" ref="L234">
      <text>
        <t xml:space="preserve">Cuota base + cargos.</t>
      </text>
    </comment>
    <comment authorId="0" ref="M234">
      <text>
        <t xml:space="preserve">Capital final del calendario teórico. No equivale al saldo real si hay pagos parciales o atrasos.</t>
      </text>
    </comment>
    <comment authorId="0" ref="N234">
      <text>
        <t xml:space="preserve">Suma de pagos válidos del mismo ID y cuota con fecha igual o anterior al corte.</t>
      </text>
    </comment>
    <comment authorId="0" ref="O234">
      <text>
        <t xml:space="preserve">MIN(amortización pactada; MAX(0; pagado − cargos − interés)). No imputa excedentes a otras cuotas.</t>
      </text>
    </comment>
    <comment authorId="0" ref="P234">
      <text>
        <t xml:space="preserve">MAX(0; total pactado − pagado a esta cuota). Incluye capital, interés y cargos pendientes de ESA cuota.</t>
      </text>
    </comment>
    <comment authorId="0" ref="Q234">
      <text>
        <t xml:space="preserve">Días desde vencimiento hasta corte, solo si venció antes del corte y sigue con saldo.</t>
      </text>
    </comment>
    <comment authorId="0" ref="R234">
      <text>
        <t xml:space="preserve">MAX(0; pagado − cuota pactada). Exceso para revisar: no se traspasa a otra cuota.</t>
      </text>
    </comment>
    <comment authorId="0" ref="S234">
      <text>
        <t xml:space="preserve">Pagada, Vencida, Vence hoy, Por vencer o Exceso sin imputar según fecha y saldo al corte.</t>
      </text>
    </comment>
    <comment authorId="0" ref="T234">
      <text>
        <t xml:space="preserve">Auxiliar para encontrar la primera cuota pendiente. El 999999 indica que esta cuota no tiene saldo pendiente o está fuera del plazo, y no es una fecha real.</t>
      </text>
    </comment>
    <comment authorId="0" ref="C235">
      <text>
        <t xml:space="preserve">Crédito al que corresponde esta cuota.</t>
      </text>
    </comment>
    <comment authorId="0" ref="D235">
      <text>
        <t xml:space="preserve">Número de cuota dentro del crédito.</t>
      </text>
    </comment>
    <comment authorId="0" ref="E235">
      <text>
        <t xml:space="preserve">Fecha según EDATE a partir del primer vencimiento. No ajusta automáticamente feriados.</t>
      </text>
    </comment>
    <comment authorId="0" ref="F235">
      <text>
        <t xml:space="preserve">Capital al inicio del período en el calendario ORIGINAL, sin recalcular por pagos reales.</t>
      </text>
    </comment>
    <comment authorId="0" ref="G235">
      <text>
        <t xml:space="preserve">Tasa efectiva del mes según la base ingresada.</t>
      </text>
    </comment>
    <comment authorId="0" ref="H235">
      <text>
        <t xml:space="preserve">Interés del período = capital inicial × tasa mensual, redondeado a dos decimales.</t>
      </text>
    </comment>
    <comment authorId="0" ref="I235">
      <text>
        <t xml:space="preserve">Capital e interés pactados. La última cuota ajusta el saldo por redondeo.</t>
      </text>
    </comment>
    <comment authorId="0" ref="J235">
      <text>
        <t xml:space="preserve">Capital amortizado TEÓRICO = cuota base − interés, limitado al saldo.</t>
      </text>
    </comment>
    <comment authorId="0" ref="K235">
      <text>
        <t xml:space="preserve">Seguro y otros cargos fijos del mes.</t>
      </text>
    </comment>
    <comment authorId="0" ref="L235">
      <text>
        <t xml:space="preserve">Cuota base + cargos.</t>
      </text>
    </comment>
    <comment authorId="0" ref="M235">
      <text>
        <t xml:space="preserve">Capital final del calendario teórico. No equivale al saldo real si hay pagos parciales o atrasos.</t>
      </text>
    </comment>
    <comment authorId="0" ref="N235">
      <text>
        <t xml:space="preserve">Suma de pagos válidos del mismo ID y cuota con fecha igual o anterior al corte.</t>
      </text>
    </comment>
    <comment authorId="0" ref="O235">
      <text>
        <t xml:space="preserve">MIN(amortización pactada; MAX(0; pagado − cargos − interés)). No imputa excedentes a otras cuotas.</t>
      </text>
    </comment>
    <comment authorId="0" ref="P235">
      <text>
        <t xml:space="preserve">MAX(0; total pactado − pagado a esta cuota). Incluye capital, interés y cargos pendientes de ESA cuota.</t>
      </text>
    </comment>
    <comment authorId="0" ref="Q235">
      <text>
        <t xml:space="preserve">Días desde vencimiento hasta corte, solo si venció antes del corte y sigue con saldo.</t>
      </text>
    </comment>
    <comment authorId="0" ref="R235">
      <text>
        <t xml:space="preserve">MAX(0; pagado − cuota pactada). Exceso para revisar: no se traspasa a otra cuota.</t>
      </text>
    </comment>
    <comment authorId="0" ref="S235">
      <text>
        <t xml:space="preserve">Pagada, Vencida, Vence hoy, Por vencer o Exceso sin imputar según fecha y saldo al corte.</t>
      </text>
    </comment>
    <comment authorId="0" ref="T235">
      <text>
        <t xml:space="preserve">Auxiliar para encontrar la primera cuota pendiente. El 999999 indica que esta cuota no tiene saldo pendiente o está fuera del plazo, y no es una fecha real.</t>
      </text>
    </comment>
    <comment authorId="0" ref="C236">
      <text>
        <t xml:space="preserve">Crédito al que corresponde esta cuota.</t>
      </text>
    </comment>
    <comment authorId="0" ref="D236">
      <text>
        <t xml:space="preserve">Número de cuota dentro del crédito.</t>
      </text>
    </comment>
    <comment authorId="0" ref="E236">
      <text>
        <t xml:space="preserve">Fecha según EDATE a partir del primer vencimiento. No ajusta automáticamente feriados.</t>
      </text>
    </comment>
    <comment authorId="0" ref="F236">
      <text>
        <t xml:space="preserve">Capital al inicio del período en el calendario ORIGINAL, sin recalcular por pagos reales.</t>
      </text>
    </comment>
    <comment authorId="0" ref="G236">
      <text>
        <t xml:space="preserve">Tasa efectiva del mes según la base ingresada.</t>
      </text>
    </comment>
    <comment authorId="0" ref="H236">
      <text>
        <t xml:space="preserve">Interés del período = capital inicial × tasa mensual, redondeado a dos decimales.</t>
      </text>
    </comment>
    <comment authorId="0" ref="I236">
      <text>
        <t xml:space="preserve">Capital e interés pactados. La última cuota ajusta el saldo por redondeo.</t>
      </text>
    </comment>
    <comment authorId="0" ref="J236">
      <text>
        <t xml:space="preserve">Capital amortizado TEÓRICO = cuota base − interés, limitado al saldo.</t>
      </text>
    </comment>
    <comment authorId="0" ref="K236">
      <text>
        <t xml:space="preserve">Seguro y otros cargos fijos del mes.</t>
      </text>
    </comment>
    <comment authorId="0" ref="L236">
      <text>
        <t xml:space="preserve">Cuota base + cargos.</t>
      </text>
    </comment>
    <comment authorId="0" ref="M236">
      <text>
        <t xml:space="preserve">Capital final del calendario teórico. No equivale al saldo real si hay pagos parciales o atrasos.</t>
      </text>
    </comment>
    <comment authorId="0" ref="N236">
      <text>
        <t xml:space="preserve">Suma de pagos válidos del mismo ID y cuota con fecha igual o anterior al corte.</t>
      </text>
    </comment>
    <comment authorId="0" ref="O236">
      <text>
        <t xml:space="preserve">MIN(amortización pactada; MAX(0; pagado − cargos − interés)). No imputa excedentes a otras cuotas.</t>
      </text>
    </comment>
    <comment authorId="0" ref="P236">
      <text>
        <t xml:space="preserve">MAX(0; total pactado − pagado a esta cuota). Incluye capital, interés y cargos pendientes de ESA cuota.</t>
      </text>
    </comment>
    <comment authorId="0" ref="Q236">
      <text>
        <t xml:space="preserve">Días desde vencimiento hasta corte, solo si venció antes del corte y sigue con saldo.</t>
      </text>
    </comment>
    <comment authorId="0" ref="R236">
      <text>
        <t xml:space="preserve">MAX(0; pagado − cuota pactada). Exceso para revisar: no se traspasa a otra cuota.</t>
      </text>
    </comment>
    <comment authorId="0" ref="S236">
      <text>
        <t xml:space="preserve">Pagada, Vencida, Vence hoy, Por vencer o Exceso sin imputar según fecha y saldo al corte.</t>
      </text>
    </comment>
    <comment authorId="0" ref="T236">
      <text>
        <t xml:space="preserve">Auxiliar para encontrar la primera cuota pendiente. El 999999 indica que esta cuota no tiene saldo pendiente o está fuera del plazo, y no es una fecha real.</t>
      </text>
    </comment>
    <comment authorId="0" ref="C237">
      <text>
        <t xml:space="preserve">Crédito al que corresponde esta cuota.</t>
      </text>
    </comment>
    <comment authorId="0" ref="D237">
      <text>
        <t xml:space="preserve">Número de cuota dentro del crédito.</t>
      </text>
    </comment>
    <comment authorId="0" ref="E237">
      <text>
        <t xml:space="preserve">Fecha según EDATE a partir del primer vencimiento. No ajusta automáticamente feriados.</t>
      </text>
    </comment>
    <comment authorId="0" ref="F237">
      <text>
        <t xml:space="preserve">Capital al inicio del período en el calendario ORIGINAL, sin recalcular por pagos reales.</t>
      </text>
    </comment>
    <comment authorId="0" ref="G237">
      <text>
        <t xml:space="preserve">Tasa efectiva del mes según la base ingresada.</t>
      </text>
    </comment>
    <comment authorId="0" ref="H237">
      <text>
        <t xml:space="preserve">Interés del período = capital inicial × tasa mensual, redondeado a dos decimales.</t>
      </text>
    </comment>
    <comment authorId="0" ref="I237">
      <text>
        <t xml:space="preserve">Capital e interés pactados. La última cuota ajusta el saldo por redondeo.</t>
      </text>
    </comment>
    <comment authorId="0" ref="J237">
      <text>
        <t xml:space="preserve">Capital amortizado TEÓRICO = cuota base − interés, limitado al saldo.</t>
      </text>
    </comment>
    <comment authorId="0" ref="K237">
      <text>
        <t xml:space="preserve">Seguro y otros cargos fijos del mes.</t>
      </text>
    </comment>
    <comment authorId="0" ref="L237">
      <text>
        <t xml:space="preserve">Cuota base + cargos.</t>
      </text>
    </comment>
    <comment authorId="0" ref="M237">
      <text>
        <t xml:space="preserve">Capital final del calendario teórico. No equivale al saldo real si hay pagos parciales o atrasos.</t>
      </text>
    </comment>
    <comment authorId="0" ref="N237">
      <text>
        <t xml:space="preserve">Suma de pagos válidos del mismo ID y cuota con fecha igual o anterior al corte.</t>
      </text>
    </comment>
    <comment authorId="0" ref="O237">
      <text>
        <t xml:space="preserve">MIN(amortización pactada; MAX(0; pagado − cargos − interés)). No imputa excedentes a otras cuotas.</t>
      </text>
    </comment>
    <comment authorId="0" ref="P237">
      <text>
        <t xml:space="preserve">MAX(0; total pactado − pagado a esta cuota). Incluye capital, interés y cargos pendientes de ESA cuota.</t>
      </text>
    </comment>
    <comment authorId="0" ref="Q237">
      <text>
        <t xml:space="preserve">Días desde vencimiento hasta corte, solo si venció antes del corte y sigue con saldo.</t>
      </text>
    </comment>
    <comment authorId="0" ref="R237">
      <text>
        <t xml:space="preserve">MAX(0; pagado − cuota pactada). Exceso para revisar: no se traspasa a otra cuota.</t>
      </text>
    </comment>
    <comment authorId="0" ref="S237">
      <text>
        <t xml:space="preserve">Pagada, Vencida, Vence hoy, Por vencer o Exceso sin imputar según fecha y saldo al corte.</t>
      </text>
    </comment>
    <comment authorId="0" ref="T237">
      <text>
        <t xml:space="preserve">Auxiliar para encontrar la primera cuota pendiente. El 999999 indica que esta cuota no tiene saldo pendiente o está fuera del plazo, y no es una fecha real.</t>
      </text>
    </comment>
    <comment authorId="0" ref="C238">
      <text>
        <t xml:space="preserve">Crédito al que corresponde esta cuota.</t>
      </text>
    </comment>
    <comment authorId="0" ref="D238">
      <text>
        <t xml:space="preserve">Número de cuota dentro del crédito.</t>
      </text>
    </comment>
    <comment authorId="0" ref="E238">
      <text>
        <t xml:space="preserve">Fecha según EDATE a partir del primer vencimiento. No ajusta automáticamente feriados.</t>
      </text>
    </comment>
    <comment authorId="0" ref="F238">
      <text>
        <t xml:space="preserve">Capital al inicio del período en el calendario ORIGINAL, sin recalcular por pagos reales.</t>
      </text>
    </comment>
    <comment authorId="0" ref="G238">
      <text>
        <t xml:space="preserve">Tasa efectiva del mes según la base ingresada.</t>
      </text>
    </comment>
    <comment authorId="0" ref="H238">
      <text>
        <t xml:space="preserve">Interés del período = capital inicial × tasa mensual, redondeado a dos decimales.</t>
      </text>
    </comment>
    <comment authorId="0" ref="I238">
      <text>
        <t xml:space="preserve">Capital e interés pactados. La última cuota ajusta el saldo por redondeo.</t>
      </text>
    </comment>
    <comment authorId="0" ref="J238">
      <text>
        <t xml:space="preserve">Capital amortizado TEÓRICO = cuota base − interés, limitado al saldo.</t>
      </text>
    </comment>
    <comment authorId="0" ref="K238">
      <text>
        <t xml:space="preserve">Seguro y otros cargos fijos del mes.</t>
      </text>
    </comment>
    <comment authorId="0" ref="L238">
      <text>
        <t xml:space="preserve">Cuota base + cargos.</t>
      </text>
    </comment>
    <comment authorId="0" ref="M238">
      <text>
        <t xml:space="preserve">Capital final del calendario teórico. No equivale al saldo real si hay pagos parciales o atrasos.</t>
      </text>
    </comment>
    <comment authorId="0" ref="N238">
      <text>
        <t xml:space="preserve">Suma de pagos válidos del mismo ID y cuota con fecha igual o anterior al corte.</t>
      </text>
    </comment>
    <comment authorId="0" ref="O238">
      <text>
        <t xml:space="preserve">MIN(amortización pactada; MAX(0; pagado − cargos − interés)). No imputa excedentes a otras cuotas.</t>
      </text>
    </comment>
    <comment authorId="0" ref="P238">
      <text>
        <t xml:space="preserve">MAX(0; total pactado − pagado a esta cuota). Incluye capital, interés y cargos pendientes de ESA cuota.</t>
      </text>
    </comment>
    <comment authorId="0" ref="Q238">
      <text>
        <t xml:space="preserve">Días desde vencimiento hasta corte, solo si venció antes del corte y sigue con saldo.</t>
      </text>
    </comment>
    <comment authorId="0" ref="R238">
      <text>
        <t xml:space="preserve">MAX(0; pagado − cuota pactada). Exceso para revisar: no se traspasa a otra cuota.</t>
      </text>
    </comment>
    <comment authorId="0" ref="S238">
      <text>
        <t xml:space="preserve">Pagada, Vencida, Vence hoy, Por vencer o Exceso sin imputar según fecha y saldo al corte.</t>
      </text>
    </comment>
    <comment authorId="0" ref="T238">
      <text>
        <t xml:space="preserve">Auxiliar para encontrar la primera cuota pendiente. El 999999 indica que esta cuota no tiene saldo pendiente o está fuera del plazo, y no es una fecha real.</t>
      </text>
    </comment>
    <comment authorId="0" ref="C239">
      <text>
        <t xml:space="preserve">Crédito al que corresponde esta cuota.</t>
      </text>
    </comment>
    <comment authorId="0" ref="D239">
      <text>
        <t xml:space="preserve">Número de cuota dentro del crédito.</t>
      </text>
    </comment>
    <comment authorId="0" ref="E239">
      <text>
        <t xml:space="preserve">Fecha según EDATE a partir del primer vencimiento. No ajusta automáticamente feriados.</t>
      </text>
    </comment>
    <comment authorId="0" ref="F239">
      <text>
        <t xml:space="preserve">Capital al inicio del período en el calendario ORIGINAL, sin recalcular por pagos reales.</t>
      </text>
    </comment>
    <comment authorId="0" ref="G239">
      <text>
        <t xml:space="preserve">Tasa efectiva del mes según la base ingresada.</t>
      </text>
    </comment>
    <comment authorId="0" ref="H239">
      <text>
        <t xml:space="preserve">Interés del período = capital inicial × tasa mensual, redondeado a dos decimales.</t>
      </text>
    </comment>
    <comment authorId="0" ref="I239">
      <text>
        <t xml:space="preserve">Capital e interés pactados. La última cuota ajusta el saldo por redondeo.</t>
      </text>
    </comment>
    <comment authorId="0" ref="J239">
      <text>
        <t xml:space="preserve">Capital amortizado TEÓRICO = cuota base − interés, limitado al saldo.</t>
      </text>
    </comment>
    <comment authorId="0" ref="K239">
      <text>
        <t xml:space="preserve">Seguro y otros cargos fijos del mes.</t>
      </text>
    </comment>
    <comment authorId="0" ref="L239">
      <text>
        <t xml:space="preserve">Cuota base + cargos.</t>
      </text>
    </comment>
    <comment authorId="0" ref="M239">
      <text>
        <t xml:space="preserve">Capital final del calendario teórico. No equivale al saldo real si hay pagos parciales o atrasos.</t>
      </text>
    </comment>
    <comment authorId="0" ref="N239">
      <text>
        <t xml:space="preserve">Suma de pagos válidos del mismo ID y cuota con fecha igual o anterior al corte.</t>
      </text>
    </comment>
    <comment authorId="0" ref="O239">
      <text>
        <t xml:space="preserve">MIN(amortización pactada; MAX(0; pagado − cargos − interés)). No imputa excedentes a otras cuotas.</t>
      </text>
    </comment>
    <comment authorId="0" ref="P239">
      <text>
        <t xml:space="preserve">MAX(0; total pactado − pagado a esta cuota). Incluye capital, interés y cargos pendientes de ESA cuota.</t>
      </text>
    </comment>
    <comment authorId="0" ref="Q239">
      <text>
        <t xml:space="preserve">Días desde vencimiento hasta corte, solo si venció antes del corte y sigue con saldo.</t>
      </text>
    </comment>
    <comment authorId="0" ref="R239">
      <text>
        <t xml:space="preserve">MAX(0; pagado − cuota pactada). Exceso para revisar: no se traspasa a otra cuota.</t>
      </text>
    </comment>
    <comment authorId="0" ref="S239">
      <text>
        <t xml:space="preserve">Pagada, Vencida, Vence hoy, Por vencer o Exceso sin imputar según fecha y saldo al corte.</t>
      </text>
    </comment>
    <comment authorId="0" ref="T239">
      <text>
        <t xml:space="preserve">Auxiliar para encontrar la primera cuota pendiente. El 999999 indica que esta cuota no tiene saldo pendiente o está fuera del plazo, y no es una fecha real.</t>
      </text>
    </comment>
    <comment authorId="0" ref="C240">
      <text>
        <t xml:space="preserve">Crédito al que corresponde esta cuota.</t>
      </text>
    </comment>
    <comment authorId="0" ref="D240">
      <text>
        <t xml:space="preserve">Número de cuota dentro del crédito.</t>
      </text>
    </comment>
    <comment authorId="0" ref="E240">
      <text>
        <t xml:space="preserve">Fecha según EDATE a partir del primer vencimiento. No ajusta automáticamente feriados.</t>
      </text>
    </comment>
    <comment authorId="0" ref="F240">
      <text>
        <t xml:space="preserve">Capital al inicio del período en el calendario ORIGINAL, sin recalcular por pagos reales.</t>
      </text>
    </comment>
    <comment authorId="0" ref="G240">
      <text>
        <t xml:space="preserve">Tasa efectiva del mes según la base ingresada.</t>
      </text>
    </comment>
    <comment authorId="0" ref="H240">
      <text>
        <t xml:space="preserve">Interés del período = capital inicial × tasa mensual, redondeado a dos decimales.</t>
      </text>
    </comment>
    <comment authorId="0" ref="I240">
      <text>
        <t xml:space="preserve">Capital e interés pactados. La última cuota ajusta el saldo por redondeo.</t>
      </text>
    </comment>
    <comment authorId="0" ref="J240">
      <text>
        <t xml:space="preserve">Capital amortizado TEÓRICO = cuota base − interés, limitado al saldo.</t>
      </text>
    </comment>
    <comment authorId="0" ref="K240">
      <text>
        <t xml:space="preserve">Seguro y otros cargos fijos del mes.</t>
      </text>
    </comment>
    <comment authorId="0" ref="L240">
      <text>
        <t xml:space="preserve">Cuota base + cargos.</t>
      </text>
    </comment>
    <comment authorId="0" ref="M240">
      <text>
        <t xml:space="preserve">Capital final del calendario teórico. No equivale al saldo real si hay pagos parciales o atrasos.</t>
      </text>
    </comment>
    <comment authorId="0" ref="N240">
      <text>
        <t xml:space="preserve">Suma de pagos válidos del mismo ID y cuota con fecha igual o anterior al corte.</t>
      </text>
    </comment>
    <comment authorId="0" ref="O240">
      <text>
        <t xml:space="preserve">MIN(amortización pactada; MAX(0; pagado − cargos − interés)). No imputa excedentes a otras cuotas.</t>
      </text>
    </comment>
    <comment authorId="0" ref="P240">
      <text>
        <t xml:space="preserve">MAX(0; total pactado − pagado a esta cuota). Incluye capital, interés y cargos pendientes de ESA cuota.</t>
      </text>
    </comment>
    <comment authorId="0" ref="Q240">
      <text>
        <t xml:space="preserve">Días desde vencimiento hasta corte, solo si venció antes del corte y sigue con saldo.</t>
      </text>
    </comment>
    <comment authorId="0" ref="R240">
      <text>
        <t xml:space="preserve">MAX(0; pagado − cuota pactada). Exceso para revisar: no se traspasa a otra cuota.</t>
      </text>
    </comment>
    <comment authorId="0" ref="S240">
      <text>
        <t xml:space="preserve">Pagada, Vencida, Vence hoy, Por vencer o Exceso sin imputar según fecha y saldo al corte.</t>
      </text>
    </comment>
    <comment authorId="0" ref="T240">
      <text>
        <t xml:space="preserve">Auxiliar para encontrar la primera cuota pendiente. El 999999 indica que esta cuota no tiene saldo pendiente o está fuera del plazo, y no es una fecha real.</t>
      </text>
    </comment>
    <comment authorId="0" ref="C241">
      <text>
        <t xml:space="preserve">Crédito al que corresponde esta cuota.</t>
      </text>
    </comment>
    <comment authorId="0" ref="D241">
      <text>
        <t xml:space="preserve">Número de cuota dentro del crédito.</t>
      </text>
    </comment>
    <comment authorId="0" ref="E241">
      <text>
        <t xml:space="preserve">Fecha según EDATE a partir del primer vencimiento. No ajusta automáticamente feriados.</t>
      </text>
    </comment>
    <comment authorId="0" ref="F241">
      <text>
        <t xml:space="preserve">Capital al inicio del período en el calendario ORIGINAL, sin recalcular por pagos reales.</t>
      </text>
    </comment>
    <comment authorId="0" ref="G241">
      <text>
        <t xml:space="preserve">Tasa efectiva del mes según la base ingresada.</t>
      </text>
    </comment>
    <comment authorId="0" ref="H241">
      <text>
        <t xml:space="preserve">Interés del período = capital inicial × tasa mensual, redondeado a dos decimales.</t>
      </text>
    </comment>
    <comment authorId="0" ref="I241">
      <text>
        <t xml:space="preserve">Capital e interés pactados. La última cuota ajusta el saldo por redondeo.</t>
      </text>
    </comment>
    <comment authorId="0" ref="J241">
      <text>
        <t xml:space="preserve">Capital amortizado TEÓRICO = cuota base − interés, limitado al saldo.</t>
      </text>
    </comment>
    <comment authorId="0" ref="K241">
      <text>
        <t xml:space="preserve">Seguro y otros cargos fijos del mes.</t>
      </text>
    </comment>
    <comment authorId="0" ref="L241">
      <text>
        <t xml:space="preserve">Cuota base + cargos.</t>
      </text>
    </comment>
    <comment authorId="0" ref="M241">
      <text>
        <t xml:space="preserve">Capital final del calendario teórico. No equivale al saldo real si hay pagos parciales o atrasos.</t>
      </text>
    </comment>
    <comment authorId="0" ref="N241">
      <text>
        <t xml:space="preserve">Suma de pagos válidos del mismo ID y cuota con fecha igual o anterior al corte.</t>
      </text>
    </comment>
    <comment authorId="0" ref="O241">
      <text>
        <t xml:space="preserve">MIN(amortización pactada; MAX(0; pagado − cargos − interés)). No imputa excedentes a otras cuotas.</t>
      </text>
    </comment>
    <comment authorId="0" ref="P241">
      <text>
        <t xml:space="preserve">MAX(0; total pactado − pagado a esta cuota). Incluye capital, interés y cargos pendientes de ESA cuota.</t>
      </text>
    </comment>
    <comment authorId="0" ref="Q241">
      <text>
        <t xml:space="preserve">Días desde vencimiento hasta corte, solo si venció antes del corte y sigue con saldo.</t>
      </text>
    </comment>
    <comment authorId="0" ref="R241">
      <text>
        <t xml:space="preserve">MAX(0; pagado − cuota pactada). Exceso para revisar: no se traspasa a otra cuota.</t>
      </text>
    </comment>
    <comment authorId="0" ref="S241">
      <text>
        <t xml:space="preserve">Pagada, Vencida, Vence hoy, Por vencer o Exceso sin imputar según fecha y saldo al corte.</t>
      </text>
    </comment>
    <comment authorId="0" ref="T241">
      <text>
        <t xml:space="preserve">Auxiliar para encontrar la primera cuota pendiente. El 999999 indica que esta cuota no tiene saldo pendiente o está fuera del plazo, y no es una fecha real.</t>
      </text>
    </comment>
    <comment authorId="0" ref="C242">
      <text>
        <t xml:space="preserve">Crédito al que corresponde esta cuota.</t>
      </text>
    </comment>
    <comment authorId="0" ref="D242">
      <text>
        <t xml:space="preserve">Número de cuota dentro del crédito.</t>
      </text>
    </comment>
    <comment authorId="0" ref="E242">
      <text>
        <t xml:space="preserve">Fecha según EDATE a partir del primer vencimiento. No ajusta automáticamente feriados.</t>
      </text>
    </comment>
    <comment authorId="0" ref="F242">
      <text>
        <t xml:space="preserve">Capital al inicio del período en el calendario ORIGINAL, sin recalcular por pagos reales.</t>
      </text>
    </comment>
    <comment authorId="0" ref="G242">
      <text>
        <t xml:space="preserve">Tasa efectiva del mes según la base ingresada.</t>
      </text>
    </comment>
    <comment authorId="0" ref="H242">
      <text>
        <t xml:space="preserve">Interés del período = capital inicial × tasa mensual, redondeado a dos decimales.</t>
      </text>
    </comment>
    <comment authorId="0" ref="I242">
      <text>
        <t xml:space="preserve">Capital e interés pactados. La última cuota ajusta el saldo por redondeo.</t>
      </text>
    </comment>
    <comment authorId="0" ref="J242">
      <text>
        <t xml:space="preserve">Capital amortizado TEÓRICO = cuota base − interés, limitado al saldo.</t>
      </text>
    </comment>
    <comment authorId="0" ref="K242">
      <text>
        <t xml:space="preserve">Seguro y otros cargos fijos del mes.</t>
      </text>
    </comment>
    <comment authorId="0" ref="L242">
      <text>
        <t xml:space="preserve">Cuota base + cargos.</t>
      </text>
    </comment>
    <comment authorId="0" ref="M242">
      <text>
        <t xml:space="preserve">Capital final del calendario teórico. No equivale al saldo real si hay pagos parciales o atrasos.</t>
      </text>
    </comment>
    <comment authorId="0" ref="N242">
      <text>
        <t xml:space="preserve">Suma de pagos válidos del mismo ID y cuota con fecha igual o anterior al corte.</t>
      </text>
    </comment>
    <comment authorId="0" ref="O242">
      <text>
        <t xml:space="preserve">MIN(amortización pactada; MAX(0; pagado − cargos − interés)). No imputa excedentes a otras cuotas.</t>
      </text>
    </comment>
    <comment authorId="0" ref="P242">
      <text>
        <t xml:space="preserve">MAX(0; total pactado − pagado a esta cuota). Incluye capital, interés y cargos pendientes de ESA cuota.</t>
      </text>
    </comment>
    <comment authorId="0" ref="Q242">
      <text>
        <t xml:space="preserve">Días desde vencimiento hasta corte, solo si venció antes del corte y sigue con saldo.</t>
      </text>
    </comment>
    <comment authorId="0" ref="R242">
      <text>
        <t xml:space="preserve">MAX(0; pagado − cuota pactada). Exceso para revisar: no se traspasa a otra cuota.</t>
      </text>
    </comment>
    <comment authorId="0" ref="S242">
      <text>
        <t xml:space="preserve">Pagada, Vencida, Vence hoy, Por vencer o Exceso sin imputar según fecha y saldo al corte.</t>
      </text>
    </comment>
    <comment authorId="0" ref="T242">
      <text>
        <t xml:space="preserve">Auxiliar para encontrar la primera cuota pendiente. El 999999 indica que esta cuota no tiene saldo pendiente o está fuera del plazo, y no es una fecha real.</t>
      </text>
    </comment>
    <comment authorId="0" ref="C243">
      <text>
        <t xml:space="preserve">Crédito al que corresponde esta cuota.</t>
      </text>
    </comment>
    <comment authorId="0" ref="D243">
      <text>
        <t xml:space="preserve">Número de cuota dentro del crédito.</t>
      </text>
    </comment>
    <comment authorId="0" ref="E243">
      <text>
        <t xml:space="preserve">Fecha según EDATE a partir del primer vencimiento. No ajusta automáticamente feriados.</t>
      </text>
    </comment>
    <comment authorId="0" ref="F243">
      <text>
        <t xml:space="preserve">Capital al inicio del período en el calendario ORIGINAL, sin recalcular por pagos reales.</t>
      </text>
    </comment>
    <comment authorId="0" ref="G243">
      <text>
        <t xml:space="preserve">Tasa efectiva del mes según la base ingresada.</t>
      </text>
    </comment>
    <comment authorId="0" ref="H243">
      <text>
        <t xml:space="preserve">Interés del período = capital inicial × tasa mensual, redondeado a dos decimales.</t>
      </text>
    </comment>
    <comment authorId="0" ref="I243">
      <text>
        <t xml:space="preserve">Capital e interés pactados. La última cuota ajusta el saldo por redondeo.</t>
      </text>
    </comment>
    <comment authorId="0" ref="J243">
      <text>
        <t xml:space="preserve">Capital amortizado TEÓRICO = cuota base − interés, limitado al saldo.</t>
      </text>
    </comment>
    <comment authorId="0" ref="K243">
      <text>
        <t xml:space="preserve">Seguro y otros cargos fijos del mes.</t>
      </text>
    </comment>
    <comment authorId="0" ref="L243">
      <text>
        <t xml:space="preserve">Cuota base + cargos.</t>
      </text>
    </comment>
    <comment authorId="0" ref="M243">
      <text>
        <t xml:space="preserve">Capital final del calendario teórico. No equivale al saldo real si hay pagos parciales o atrasos.</t>
      </text>
    </comment>
    <comment authorId="0" ref="N243">
      <text>
        <t xml:space="preserve">Suma de pagos válidos del mismo ID y cuota con fecha igual o anterior al corte.</t>
      </text>
    </comment>
    <comment authorId="0" ref="O243">
      <text>
        <t xml:space="preserve">MIN(amortización pactada; MAX(0; pagado − cargos − interés)). No imputa excedentes a otras cuotas.</t>
      </text>
    </comment>
    <comment authorId="0" ref="P243">
      <text>
        <t xml:space="preserve">MAX(0; total pactado − pagado a esta cuota). Incluye capital, interés y cargos pendientes de ESA cuota.</t>
      </text>
    </comment>
    <comment authorId="0" ref="Q243">
      <text>
        <t xml:space="preserve">Días desde vencimiento hasta corte, solo si venció antes del corte y sigue con saldo.</t>
      </text>
    </comment>
    <comment authorId="0" ref="R243">
      <text>
        <t xml:space="preserve">MAX(0; pagado − cuota pactada). Exceso para revisar: no se traspasa a otra cuota.</t>
      </text>
    </comment>
    <comment authorId="0" ref="S243">
      <text>
        <t xml:space="preserve">Pagada, Vencida, Vence hoy, Por vencer o Exceso sin imputar según fecha y saldo al corte.</t>
      </text>
    </comment>
    <comment authorId="0" ref="T243">
      <text>
        <t xml:space="preserve">Auxiliar para encontrar la primera cuota pendiente. El 999999 indica que esta cuota no tiene saldo pendiente o está fuera del plazo, y no es una fecha real.</t>
      </text>
    </comment>
    <comment authorId="0" ref="C244">
      <text>
        <t xml:space="preserve">Crédito al que corresponde esta cuota.</t>
      </text>
    </comment>
    <comment authorId="0" ref="D244">
      <text>
        <t xml:space="preserve">Número de cuota dentro del crédito.</t>
      </text>
    </comment>
    <comment authorId="0" ref="E244">
      <text>
        <t xml:space="preserve">Fecha según EDATE a partir del primer vencimiento. No ajusta automáticamente feriados.</t>
      </text>
    </comment>
    <comment authorId="0" ref="F244">
      <text>
        <t xml:space="preserve">Capital al inicio del período en el calendario ORIGINAL, sin recalcular por pagos reales.</t>
      </text>
    </comment>
    <comment authorId="0" ref="G244">
      <text>
        <t xml:space="preserve">Tasa efectiva del mes según la base ingresada.</t>
      </text>
    </comment>
    <comment authorId="0" ref="H244">
      <text>
        <t xml:space="preserve">Interés del período = capital inicial × tasa mensual, redondeado a dos decimales.</t>
      </text>
    </comment>
    <comment authorId="0" ref="I244">
      <text>
        <t xml:space="preserve">Capital e interés pactados. La última cuota ajusta el saldo por redondeo.</t>
      </text>
    </comment>
    <comment authorId="0" ref="J244">
      <text>
        <t xml:space="preserve">Capital amortizado TEÓRICO = cuota base − interés, limitado al saldo.</t>
      </text>
    </comment>
    <comment authorId="0" ref="K244">
      <text>
        <t xml:space="preserve">Seguro y otros cargos fijos del mes.</t>
      </text>
    </comment>
    <comment authorId="0" ref="L244">
      <text>
        <t xml:space="preserve">Cuota base + cargos.</t>
      </text>
    </comment>
    <comment authorId="0" ref="M244">
      <text>
        <t xml:space="preserve">Capital final del calendario teórico. No equivale al saldo real si hay pagos parciales o atrasos.</t>
      </text>
    </comment>
    <comment authorId="0" ref="N244">
      <text>
        <t xml:space="preserve">Suma de pagos válidos del mismo ID y cuota con fecha igual o anterior al corte.</t>
      </text>
    </comment>
    <comment authorId="0" ref="O244">
      <text>
        <t xml:space="preserve">MIN(amortización pactada; MAX(0; pagado − cargos − interés)). No imputa excedentes a otras cuotas.</t>
      </text>
    </comment>
    <comment authorId="0" ref="P244">
      <text>
        <t xml:space="preserve">MAX(0; total pactado − pagado a esta cuota). Incluye capital, interés y cargos pendientes de ESA cuota.</t>
      </text>
    </comment>
    <comment authorId="0" ref="Q244">
      <text>
        <t xml:space="preserve">Días desde vencimiento hasta corte, solo si venció antes del corte y sigue con saldo.</t>
      </text>
    </comment>
    <comment authorId="0" ref="R244">
      <text>
        <t xml:space="preserve">MAX(0; pagado − cuota pactada). Exceso para revisar: no se traspasa a otra cuota.</t>
      </text>
    </comment>
    <comment authorId="0" ref="S244">
      <text>
        <t xml:space="preserve">Pagada, Vencida, Vence hoy, Por vencer o Exceso sin imputar según fecha y saldo al corte.</t>
      </text>
    </comment>
    <comment authorId="0" ref="T244">
      <text>
        <t xml:space="preserve">Auxiliar para encontrar la primera cuota pendiente. El 999999 indica que esta cuota no tiene saldo pendiente o está fuera del plazo, y no es una fecha real.</t>
      </text>
    </comment>
    <comment authorId="0" ref="C245">
      <text>
        <t xml:space="preserve">Crédito al que corresponde esta cuota.</t>
      </text>
    </comment>
    <comment authorId="0" ref="D245">
      <text>
        <t xml:space="preserve">Número de cuota dentro del crédito.</t>
      </text>
    </comment>
    <comment authorId="0" ref="E245">
      <text>
        <t xml:space="preserve">Fecha según EDATE a partir del primer vencimiento. No ajusta automáticamente feriados.</t>
      </text>
    </comment>
    <comment authorId="0" ref="F245">
      <text>
        <t xml:space="preserve">Capital al inicio del período en el calendario ORIGINAL, sin recalcular por pagos reales.</t>
      </text>
    </comment>
    <comment authorId="0" ref="G245">
      <text>
        <t xml:space="preserve">Tasa efectiva del mes según la base ingresada.</t>
      </text>
    </comment>
    <comment authorId="0" ref="H245">
      <text>
        <t xml:space="preserve">Interés del período = capital inicial × tasa mensual, redondeado a dos decimales.</t>
      </text>
    </comment>
    <comment authorId="0" ref="I245">
      <text>
        <t xml:space="preserve">Capital e interés pactados. La última cuota ajusta el saldo por redondeo.</t>
      </text>
    </comment>
    <comment authorId="0" ref="J245">
      <text>
        <t xml:space="preserve">Capital amortizado TEÓRICO = cuota base − interés, limitado al saldo.</t>
      </text>
    </comment>
    <comment authorId="0" ref="K245">
      <text>
        <t xml:space="preserve">Seguro y otros cargos fijos del mes.</t>
      </text>
    </comment>
    <comment authorId="0" ref="L245">
      <text>
        <t xml:space="preserve">Cuota base + cargos.</t>
      </text>
    </comment>
    <comment authorId="0" ref="M245">
      <text>
        <t xml:space="preserve">Capital final del calendario teórico. No equivale al saldo real si hay pagos parciales o atrasos.</t>
      </text>
    </comment>
    <comment authorId="0" ref="N245">
      <text>
        <t xml:space="preserve">Suma de pagos válidos del mismo ID y cuota con fecha igual o anterior al corte.</t>
      </text>
    </comment>
    <comment authorId="0" ref="O245">
      <text>
        <t xml:space="preserve">MIN(amortización pactada; MAX(0; pagado − cargos − interés)). No imputa excedentes a otras cuotas.</t>
      </text>
    </comment>
    <comment authorId="0" ref="P245">
      <text>
        <t xml:space="preserve">MAX(0; total pactado − pagado a esta cuota). Incluye capital, interés y cargos pendientes de ESA cuota.</t>
      </text>
    </comment>
    <comment authorId="0" ref="Q245">
      <text>
        <t xml:space="preserve">Días desde vencimiento hasta corte, solo si venció antes del corte y sigue con saldo.</t>
      </text>
    </comment>
    <comment authorId="0" ref="R245">
      <text>
        <t xml:space="preserve">MAX(0; pagado − cuota pactada). Exceso para revisar: no se traspasa a otra cuota.</t>
      </text>
    </comment>
    <comment authorId="0" ref="S245">
      <text>
        <t xml:space="preserve">Pagada, Vencida, Vence hoy, Por vencer o Exceso sin imputar según fecha y saldo al corte.</t>
      </text>
    </comment>
    <comment authorId="0" ref="T245">
      <text>
        <t xml:space="preserve">Auxiliar para encontrar la primera cuota pendiente. El 999999 indica que esta cuota no tiene saldo pendiente o está fuera del plazo, y no es una fecha real.</t>
      </text>
    </comment>
    <comment authorId="0" ref="C246">
      <text>
        <t xml:space="preserve">Crédito al que corresponde esta cuota.</t>
      </text>
    </comment>
    <comment authorId="0" ref="D246">
      <text>
        <t xml:space="preserve">Número de cuota dentro del crédito.</t>
      </text>
    </comment>
    <comment authorId="0" ref="E246">
      <text>
        <t xml:space="preserve">Fecha según EDATE a partir del primer vencimiento. No ajusta automáticamente feriados.</t>
      </text>
    </comment>
    <comment authorId="0" ref="F246">
      <text>
        <t xml:space="preserve">Capital al inicio del período en el calendario ORIGINAL, sin recalcular por pagos reales.</t>
      </text>
    </comment>
    <comment authorId="0" ref="G246">
      <text>
        <t xml:space="preserve">Tasa efectiva del mes según la base ingresada.</t>
      </text>
    </comment>
    <comment authorId="0" ref="H246">
      <text>
        <t xml:space="preserve">Interés del período = capital inicial × tasa mensual, redondeado a dos decimales.</t>
      </text>
    </comment>
    <comment authorId="0" ref="I246">
      <text>
        <t xml:space="preserve">Capital e interés pactados. La última cuota ajusta el saldo por redondeo.</t>
      </text>
    </comment>
    <comment authorId="0" ref="J246">
      <text>
        <t xml:space="preserve">Capital amortizado TEÓRICO = cuota base − interés, limitado al saldo.</t>
      </text>
    </comment>
    <comment authorId="0" ref="K246">
      <text>
        <t xml:space="preserve">Seguro y otros cargos fijos del mes.</t>
      </text>
    </comment>
    <comment authorId="0" ref="L246">
      <text>
        <t xml:space="preserve">Cuota base + cargos.</t>
      </text>
    </comment>
    <comment authorId="0" ref="M246">
      <text>
        <t xml:space="preserve">Capital final del calendario teórico. No equivale al saldo real si hay pagos parciales o atrasos.</t>
      </text>
    </comment>
    <comment authorId="0" ref="N246">
      <text>
        <t xml:space="preserve">Suma de pagos válidos del mismo ID y cuota con fecha igual o anterior al corte.</t>
      </text>
    </comment>
    <comment authorId="0" ref="O246">
      <text>
        <t xml:space="preserve">MIN(amortización pactada; MAX(0; pagado − cargos − interés)). No imputa excedentes a otras cuotas.</t>
      </text>
    </comment>
    <comment authorId="0" ref="P246">
      <text>
        <t xml:space="preserve">MAX(0; total pactado − pagado a esta cuota). Incluye capital, interés y cargos pendientes de ESA cuota.</t>
      </text>
    </comment>
    <comment authorId="0" ref="Q246">
      <text>
        <t xml:space="preserve">Días desde vencimiento hasta corte, solo si venció antes del corte y sigue con saldo.</t>
      </text>
    </comment>
    <comment authorId="0" ref="R246">
      <text>
        <t xml:space="preserve">MAX(0; pagado − cuota pactada). Exceso para revisar: no se traspasa a otra cuota.</t>
      </text>
    </comment>
    <comment authorId="0" ref="S246">
      <text>
        <t xml:space="preserve">Pagada, Vencida, Vence hoy, Por vencer o Exceso sin imputar según fecha y saldo al corte.</t>
      </text>
    </comment>
    <comment authorId="0" ref="T246">
      <text>
        <t xml:space="preserve">Auxiliar para encontrar la primera cuota pendiente. El 999999 indica que esta cuota no tiene saldo pendiente o está fuera del plazo, y no es una fecha real.</t>
      </text>
    </comment>
    <comment authorId="0" ref="C247">
      <text>
        <t xml:space="preserve">Crédito al que corresponde esta cuota.</t>
      </text>
    </comment>
    <comment authorId="0" ref="D247">
      <text>
        <t xml:space="preserve">Número de cuota dentro del crédito.</t>
      </text>
    </comment>
    <comment authorId="0" ref="E247">
      <text>
        <t xml:space="preserve">Fecha según EDATE a partir del primer vencimiento. No ajusta automáticamente feriados.</t>
      </text>
    </comment>
    <comment authorId="0" ref="F247">
      <text>
        <t xml:space="preserve">Capital al inicio del período en el calendario ORIGINAL, sin recalcular por pagos reales.</t>
      </text>
    </comment>
    <comment authorId="0" ref="G247">
      <text>
        <t xml:space="preserve">Tasa efectiva del mes según la base ingresada.</t>
      </text>
    </comment>
    <comment authorId="0" ref="H247">
      <text>
        <t xml:space="preserve">Interés del período = capital inicial × tasa mensual, redondeado a dos decimales.</t>
      </text>
    </comment>
    <comment authorId="0" ref="I247">
      <text>
        <t xml:space="preserve">Capital e interés pactados. La última cuota ajusta el saldo por redondeo.</t>
      </text>
    </comment>
    <comment authorId="0" ref="J247">
      <text>
        <t xml:space="preserve">Capital amortizado TEÓRICO = cuota base − interés, limitado al saldo.</t>
      </text>
    </comment>
    <comment authorId="0" ref="K247">
      <text>
        <t xml:space="preserve">Seguro y otros cargos fijos del mes.</t>
      </text>
    </comment>
    <comment authorId="0" ref="L247">
      <text>
        <t xml:space="preserve">Cuota base + cargos.</t>
      </text>
    </comment>
    <comment authorId="0" ref="M247">
      <text>
        <t xml:space="preserve">Capital final del calendario teórico. No equivale al saldo real si hay pagos parciales o atrasos.</t>
      </text>
    </comment>
    <comment authorId="0" ref="N247">
      <text>
        <t xml:space="preserve">Suma de pagos válidos del mismo ID y cuota con fecha igual o anterior al corte.</t>
      </text>
    </comment>
    <comment authorId="0" ref="O247">
      <text>
        <t xml:space="preserve">MIN(amortización pactada; MAX(0; pagado − cargos − interés)). No imputa excedentes a otras cuotas.</t>
      </text>
    </comment>
    <comment authorId="0" ref="P247">
      <text>
        <t xml:space="preserve">MAX(0; total pactado − pagado a esta cuota). Incluye capital, interés y cargos pendientes de ESA cuota.</t>
      </text>
    </comment>
    <comment authorId="0" ref="Q247">
      <text>
        <t xml:space="preserve">Días desde vencimiento hasta corte, solo si venció antes del corte y sigue con saldo.</t>
      </text>
    </comment>
    <comment authorId="0" ref="R247">
      <text>
        <t xml:space="preserve">MAX(0; pagado − cuota pactada). Exceso para revisar: no se traspasa a otra cuota.</t>
      </text>
    </comment>
    <comment authorId="0" ref="S247">
      <text>
        <t xml:space="preserve">Pagada, Vencida, Vence hoy, Por vencer o Exceso sin imputar según fecha y saldo al corte.</t>
      </text>
    </comment>
    <comment authorId="0" ref="T247">
      <text>
        <t xml:space="preserve">Auxiliar para encontrar la primera cuota pendiente. El 999999 indica que esta cuota no tiene saldo pendiente o está fuera del plazo, y no es una fecha real.</t>
      </text>
    </comment>
    <comment authorId="0" ref="C248">
      <text>
        <t xml:space="preserve">Crédito al que corresponde esta cuota.</t>
      </text>
    </comment>
    <comment authorId="0" ref="D248">
      <text>
        <t xml:space="preserve">Número de cuota dentro del crédito.</t>
      </text>
    </comment>
    <comment authorId="0" ref="E248">
      <text>
        <t xml:space="preserve">Fecha según EDATE a partir del primer vencimiento. No ajusta automáticamente feriados.</t>
      </text>
    </comment>
    <comment authorId="0" ref="F248">
      <text>
        <t xml:space="preserve">Capital al inicio del período en el calendario ORIGINAL, sin recalcular por pagos reales.</t>
      </text>
    </comment>
    <comment authorId="0" ref="G248">
      <text>
        <t xml:space="preserve">Tasa efectiva del mes según la base ingresada.</t>
      </text>
    </comment>
    <comment authorId="0" ref="H248">
      <text>
        <t xml:space="preserve">Interés del período = capital inicial × tasa mensual, redondeado a dos decimales.</t>
      </text>
    </comment>
    <comment authorId="0" ref="I248">
      <text>
        <t xml:space="preserve">Capital e interés pactados. La última cuota ajusta el saldo por redondeo.</t>
      </text>
    </comment>
    <comment authorId="0" ref="J248">
      <text>
        <t xml:space="preserve">Capital amortizado TEÓRICO = cuota base − interés, limitado al saldo.</t>
      </text>
    </comment>
    <comment authorId="0" ref="K248">
      <text>
        <t xml:space="preserve">Seguro y otros cargos fijos del mes.</t>
      </text>
    </comment>
    <comment authorId="0" ref="L248">
      <text>
        <t xml:space="preserve">Cuota base + cargos.</t>
      </text>
    </comment>
    <comment authorId="0" ref="M248">
      <text>
        <t xml:space="preserve">Capital final del calendario teórico. No equivale al saldo real si hay pagos parciales o atrasos.</t>
      </text>
    </comment>
    <comment authorId="0" ref="N248">
      <text>
        <t xml:space="preserve">Suma de pagos válidos del mismo ID y cuota con fecha igual o anterior al corte.</t>
      </text>
    </comment>
    <comment authorId="0" ref="O248">
      <text>
        <t xml:space="preserve">MIN(amortización pactada; MAX(0; pagado − cargos − interés)). No imputa excedentes a otras cuotas.</t>
      </text>
    </comment>
    <comment authorId="0" ref="P248">
      <text>
        <t xml:space="preserve">MAX(0; total pactado − pagado a esta cuota). Incluye capital, interés y cargos pendientes de ESA cuota.</t>
      </text>
    </comment>
    <comment authorId="0" ref="Q248">
      <text>
        <t xml:space="preserve">Días desde vencimiento hasta corte, solo si venció antes del corte y sigue con saldo.</t>
      </text>
    </comment>
    <comment authorId="0" ref="R248">
      <text>
        <t xml:space="preserve">MAX(0; pagado − cuota pactada). Exceso para revisar: no se traspasa a otra cuota.</t>
      </text>
    </comment>
    <comment authorId="0" ref="S248">
      <text>
        <t xml:space="preserve">Pagada, Vencida, Vence hoy, Por vencer o Exceso sin imputar según fecha y saldo al corte.</t>
      </text>
    </comment>
    <comment authorId="0" ref="T248">
      <text>
        <t xml:space="preserve">Auxiliar para encontrar la primera cuota pendiente. El 999999 indica que esta cuota no tiene saldo pendiente o está fuera del plazo, y no es una fecha real.</t>
      </text>
    </comment>
    <comment authorId="0" ref="C249">
      <text>
        <t xml:space="preserve">Crédito al que corresponde esta cuota.</t>
      </text>
    </comment>
    <comment authorId="0" ref="D249">
      <text>
        <t xml:space="preserve">Número de cuota dentro del crédito.</t>
      </text>
    </comment>
    <comment authorId="0" ref="E249">
      <text>
        <t xml:space="preserve">Fecha según EDATE a partir del primer vencimiento. No ajusta automáticamente feriados.</t>
      </text>
    </comment>
    <comment authorId="0" ref="F249">
      <text>
        <t xml:space="preserve">Capital al inicio del período en el calendario ORIGINAL, sin recalcular por pagos reales.</t>
      </text>
    </comment>
    <comment authorId="0" ref="G249">
      <text>
        <t xml:space="preserve">Tasa efectiva del mes según la base ingresada.</t>
      </text>
    </comment>
    <comment authorId="0" ref="H249">
      <text>
        <t xml:space="preserve">Interés del período = capital inicial × tasa mensual, redondeado a dos decimales.</t>
      </text>
    </comment>
    <comment authorId="0" ref="I249">
      <text>
        <t xml:space="preserve">Capital e interés pactados. La última cuota ajusta el saldo por redondeo.</t>
      </text>
    </comment>
    <comment authorId="0" ref="J249">
      <text>
        <t xml:space="preserve">Capital amortizado TEÓRICO = cuota base − interés, limitado al saldo.</t>
      </text>
    </comment>
    <comment authorId="0" ref="K249">
      <text>
        <t xml:space="preserve">Seguro y otros cargos fijos del mes.</t>
      </text>
    </comment>
    <comment authorId="0" ref="L249">
      <text>
        <t xml:space="preserve">Cuota base + cargos.</t>
      </text>
    </comment>
    <comment authorId="0" ref="M249">
      <text>
        <t xml:space="preserve">Capital final del calendario teórico. No equivale al saldo real si hay pagos parciales o atrasos.</t>
      </text>
    </comment>
    <comment authorId="0" ref="N249">
      <text>
        <t xml:space="preserve">Suma de pagos válidos del mismo ID y cuota con fecha igual o anterior al corte.</t>
      </text>
    </comment>
    <comment authorId="0" ref="O249">
      <text>
        <t xml:space="preserve">MIN(amortización pactada; MAX(0; pagado − cargos − interés)). No imputa excedentes a otras cuotas.</t>
      </text>
    </comment>
    <comment authorId="0" ref="P249">
      <text>
        <t xml:space="preserve">MAX(0; total pactado − pagado a esta cuota). Incluye capital, interés y cargos pendientes de ESA cuota.</t>
      </text>
    </comment>
    <comment authorId="0" ref="Q249">
      <text>
        <t xml:space="preserve">Días desde vencimiento hasta corte, solo si venció antes del corte y sigue con saldo.</t>
      </text>
    </comment>
    <comment authorId="0" ref="R249">
      <text>
        <t xml:space="preserve">MAX(0; pagado − cuota pactada). Exceso para revisar: no se traspasa a otra cuota.</t>
      </text>
    </comment>
    <comment authorId="0" ref="S249">
      <text>
        <t xml:space="preserve">Pagada, Vencida, Vence hoy, Por vencer o Exceso sin imputar según fecha y saldo al corte.</t>
      </text>
    </comment>
    <comment authorId="0" ref="T249">
      <text>
        <t xml:space="preserve">Auxiliar para encontrar la primera cuota pendiente. El 999999 indica que esta cuota no tiene saldo pendiente o está fuera del plazo, y no es una fecha real.</t>
      </text>
    </comment>
    <comment authorId="0" ref="C250">
      <text>
        <t xml:space="preserve">Crédito al que corresponde esta cuota.</t>
      </text>
    </comment>
    <comment authorId="0" ref="D250">
      <text>
        <t xml:space="preserve">Número de cuota dentro del crédito.</t>
      </text>
    </comment>
    <comment authorId="0" ref="E250">
      <text>
        <t xml:space="preserve">Fecha según EDATE a partir del primer vencimiento. No ajusta automáticamente feriados.</t>
      </text>
    </comment>
    <comment authorId="0" ref="F250">
      <text>
        <t xml:space="preserve">Capital al inicio del período en el calendario ORIGINAL, sin recalcular por pagos reales.</t>
      </text>
    </comment>
    <comment authorId="0" ref="G250">
      <text>
        <t xml:space="preserve">Tasa efectiva del mes según la base ingresada.</t>
      </text>
    </comment>
    <comment authorId="0" ref="H250">
      <text>
        <t xml:space="preserve">Interés del período = capital inicial × tasa mensual, redondeado a dos decimales.</t>
      </text>
    </comment>
    <comment authorId="0" ref="I250">
      <text>
        <t xml:space="preserve">Capital e interés pactados. La última cuota ajusta el saldo por redondeo.</t>
      </text>
    </comment>
    <comment authorId="0" ref="J250">
      <text>
        <t xml:space="preserve">Capital amortizado TEÓRICO = cuota base − interés, limitado al saldo.</t>
      </text>
    </comment>
    <comment authorId="0" ref="K250">
      <text>
        <t xml:space="preserve">Seguro y otros cargos fijos del mes.</t>
      </text>
    </comment>
    <comment authorId="0" ref="L250">
      <text>
        <t xml:space="preserve">Cuota base + cargos.</t>
      </text>
    </comment>
    <comment authorId="0" ref="M250">
      <text>
        <t xml:space="preserve">Capital final del calendario teórico. No equivale al saldo real si hay pagos parciales o atrasos.</t>
      </text>
    </comment>
    <comment authorId="0" ref="N250">
      <text>
        <t xml:space="preserve">Suma de pagos válidos del mismo ID y cuota con fecha igual o anterior al corte.</t>
      </text>
    </comment>
    <comment authorId="0" ref="O250">
      <text>
        <t xml:space="preserve">MIN(amortización pactada; MAX(0; pagado − cargos − interés)). No imputa excedentes a otras cuotas.</t>
      </text>
    </comment>
    <comment authorId="0" ref="P250">
      <text>
        <t xml:space="preserve">MAX(0; total pactado − pagado a esta cuota). Incluye capital, interés y cargos pendientes de ESA cuota.</t>
      </text>
    </comment>
    <comment authorId="0" ref="Q250">
      <text>
        <t xml:space="preserve">Días desde vencimiento hasta corte, solo si venció antes del corte y sigue con saldo.</t>
      </text>
    </comment>
    <comment authorId="0" ref="R250">
      <text>
        <t xml:space="preserve">MAX(0; pagado − cuota pactada). Exceso para revisar: no se traspasa a otra cuota.</t>
      </text>
    </comment>
    <comment authorId="0" ref="S250">
      <text>
        <t xml:space="preserve">Pagada, Vencida, Vence hoy, Por vencer o Exceso sin imputar según fecha y saldo al corte.</t>
      </text>
    </comment>
    <comment authorId="0" ref="T250">
      <text>
        <t xml:space="preserve">Auxiliar para encontrar la primera cuota pendiente. El 999999 indica que esta cuota no tiene saldo pendiente o está fuera del plazo, y no es una fecha real.</t>
      </text>
    </comment>
    <comment authorId="0" ref="C251">
      <text>
        <t xml:space="preserve">Crédito al que corresponde esta cuota.</t>
      </text>
    </comment>
    <comment authorId="0" ref="D251">
      <text>
        <t xml:space="preserve">Número de cuota dentro del crédito.</t>
      </text>
    </comment>
    <comment authorId="0" ref="E251">
      <text>
        <t xml:space="preserve">Fecha según EDATE a partir del primer vencimiento. No ajusta automáticamente feriados.</t>
      </text>
    </comment>
    <comment authorId="0" ref="F251">
      <text>
        <t xml:space="preserve">Capital al inicio del período en el calendario ORIGINAL, sin recalcular por pagos reales.</t>
      </text>
    </comment>
    <comment authorId="0" ref="G251">
      <text>
        <t xml:space="preserve">Tasa efectiva del mes según la base ingresada.</t>
      </text>
    </comment>
    <comment authorId="0" ref="H251">
      <text>
        <t xml:space="preserve">Interés del período = capital inicial × tasa mensual, redondeado a dos decimales.</t>
      </text>
    </comment>
    <comment authorId="0" ref="I251">
      <text>
        <t xml:space="preserve">Capital e interés pactados. La última cuota ajusta el saldo por redondeo.</t>
      </text>
    </comment>
    <comment authorId="0" ref="J251">
      <text>
        <t xml:space="preserve">Capital amortizado TEÓRICO = cuota base − interés, limitado al saldo.</t>
      </text>
    </comment>
    <comment authorId="0" ref="K251">
      <text>
        <t xml:space="preserve">Seguro y otros cargos fijos del mes.</t>
      </text>
    </comment>
    <comment authorId="0" ref="L251">
      <text>
        <t xml:space="preserve">Cuota base + cargos.</t>
      </text>
    </comment>
    <comment authorId="0" ref="M251">
      <text>
        <t xml:space="preserve">Capital final del calendario teórico. No equivale al saldo real si hay pagos parciales o atrasos.</t>
      </text>
    </comment>
    <comment authorId="0" ref="N251">
      <text>
        <t xml:space="preserve">Suma de pagos válidos del mismo ID y cuota con fecha igual o anterior al corte.</t>
      </text>
    </comment>
    <comment authorId="0" ref="O251">
      <text>
        <t xml:space="preserve">MIN(amortización pactada; MAX(0; pagado − cargos − interés)). No imputa excedentes a otras cuotas.</t>
      </text>
    </comment>
    <comment authorId="0" ref="P251">
      <text>
        <t xml:space="preserve">MAX(0; total pactado − pagado a esta cuota). Incluye capital, interés y cargos pendientes de ESA cuota.</t>
      </text>
    </comment>
    <comment authorId="0" ref="Q251">
      <text>
        <t xml:space="preserve">Días desde vencimiento hasta corte, solo si venció antes del corte y sigue con saldo.</t>
      </text>
    </comment>
    <comment authorId="0" ref="R251">
      <text>
        <t xml:space="preserve">MAX(0; pagado − cuota pactada). Exceso para revisar: no se traspasa a otra cuota.</t>
      </text>
    </comment>
    <comment authorId="0" ref="S251">
      <text>
        <t xml:space="preserve">Pagada, Vencida, Vence hoy, Por vencer o Exceso sin imputar según fecha y saldo al corte.</t>
      </text>
    </comment>
    <comment authorId="0" ref="T251">
      <text>
        <t xml:space="preserve">Auxiliar para encontrar la primera cuota pendiente. El 999999 indica que esta cuota no tiene saldo pendiente o está fuera del plazo, y no es una fecha real.</t>
      </text>
    </comment>
    <comment authorId="0" ref="C252">
      <text>
        <t xml:space="preserve">Crédito al que corresponde esta cuota.</t>
      </text>
    </comment>
    <comment authorId="0" ref="D252">
      <text>
        <t xml:space="preserve">Número de cuota dentro del crédito.</t>
      </text>
    </comment>
    <comment authorId="0" ref="E252">
      <text>
        <t xml:space="preserve">Fecha según EDATE a partir del primer vencimiento. No ajusta automáticamente feriados.</t>
      </text>
    </comment>
    <comment authorId="0" ref="F252">
      <text>
        <t xml:space="preserve">Capital al inicio del período en el calendario ORIGINAL, sin recalcular por pagos reales.</t>
      </text>
    </comment>
    <comment authorId="0" ref="G252">
      <text>
        <t xml:space="preserve">Tasa efectiva del mes según la base ingresada.</t>
      </text>
    </comment>
    <comment authorId="0" ref="H252">
      <text>
        <t xml:space="preserve">Interés del período = capital inicial × tasa mensual, redondeado a dos decimales.</t>
      </text>
    </comment>
    <comment authorId="0" ref="I252">
      <text>
        <t xml:space="preserve">Capital e interés pactados. La última cuota ajusta el saldo por redondeo.</t>
      </text>
    </comment>
    <comment authorId="0" ref="J252">
      <text>
        <t xml:space="preserve">Capital amortizado TEÓRICO = cuota base − interés, limitado al saldo.</t>
      </text>
    </comment>
    <comment authorId="0" ref="K252">
      <text>
        <t xml:space="preserve">Seguro y otros cargos fijos del mes.</t>
      </text>
    </comment>
    <comment authorId="0" ref="L252">
      <text>
        <t xml:space="preserve">Cuota base + cargos.</t>
      </text>
    </comment>
    <comment authorId="0" ref="M252">
      <text>
        <t xml:space="preserve">Capital final del calendario teórico. No equivale al saldo real si hay pagos parciales o atrasos.</t>
      </text>
    </comment>
    <comment authorId="0" ref="N252">
      <text>
        <t xml:space="preserve">Suma de pagos válidos del mismo ID y cuota con fecha igual o anterior al corte.</t>
      </text>
    </comment>
    <comment authorId="0" ref="O252">
      <text>
        <t xml:space="preserve">MIN(amortización pactada; MAX(0; pagado − cargos − interés)). No imputa excedentes a otras cuotas.</t>
      </text>
    </comment>
    <comment authorId="0" ref="P252">
      <text>
        <t xml:space="preserve">MAX(0; total pactado − pagado a esta cuota). Incluye capital, interés y cargos pendientes de ESA cuota.</t>
      </text>
    </comment>
    <comment authorId="0" ref="Q252">
      <text>
        <t xml:space="preserve">Días desde vencimiento hasta corte, solo si venció antes del corte y sigue con saldo.</t>
      </text>
    </comment>
    <comment authorId="0" ref="R252">
      <text>
        <t xml:space="preserve">MAX(0; pagado − cuota pactada). Exceso para revisar: no se traspasa a otra cuota.</t>
      </text>
    </comment>
    <comment authorId="0" ref="S252">
      <text>
        <t xml:space="preserve">Pagada, Vencida, Vence hoy, Por vencer o Exceso sin imputar según fecha y saldo al corte.</t>
      </text>
    </comment>
    <comment authorId="0" ref="T252">
      <text>
        <t xml:space="preserve">Auxiliar para encontrar la primera cuota pendiente. El 999999 indica que esta cuota no tiene saldo pendiente o está fuera del plazo, y no es una fecha real.</t>
      </text>
    </comment>
    <comment authorId="0" ref="C253">
      <text>
        <t xml:space="preserve">Crédito al que corresponde esta cuota.</t>
      </text>
    </comment>
    <comment authorId="0" ref="D253">
      <text>
        <t xml:space="preserve">Número de cuota dentro del crédito.</t>
      </text>
    </comment>
    <comment authorId="0" ref="E253">
      <text>
        <t xml:space="preserve">Fecha según EDATE a partir del primer vencimiento. No ajusta automáticamente feriados.</t>
      </text>
    </comment>
    <comment authorId="0" ref="F253">
      <text>
        <t xml:space="preserve">Capital al inicio del período en el calendario ORIGINAL, sin recalcular por pagos reales.</t>
      </text>
    </comment>
    <comment authorId="0" ref="G253">
      <text>
        <t xml:space="preserve">Tasa efectiva del mes según la base ingresada.</t>
      </text>
    </comment>
    <comment authorId="0" ref="H253">
      <text>
        <t xml:space="preserve">Interés del período = capital inicial × tasa mensual, redondeado a dos decimales.</t>
      </text>
    </comment>
    <comment authorId="0" ref="I253">
      <text>
        <t xml:space="preserve">Capital e interés pactados. La última cuota ajusta el saldo por redondeo.</t>
      </text>
    </comment>
    <comment authorId="0" ref="J253">
      <text>
        <t xml:space="preserve">Capital amortizado TEÓRICO = cuota base − interés, limitado al saldo.</t>
      </text>
    </comment>
    <comment authorId="0" ref="K253">
      <text>
        <t xml:space="preserve">Seguro y otros cargos fijos del mes.</t>
      </text>
    </comment>
    <comment authorId="0" ref="L253">
      <text>
        <t xml:space="preserve">Cuota base + cargos.</t>
      </text>
    </comment>
    <comment authorId="0" ref="M253">
      <text>
        <t xml:space="preserve">Capital final del calendario teórico. No equivale al saldo real si hay pagos parciales o atrasos.</t>
      </text>
    </comment>
    <comment authorId="0" ref="N253">
      <text>
        <t xml:space="preserve">Suma de pagos válidos del mismo ID y cuota con fecha igual o anterior al corte.</t>
      </text>
    </comment>
    <comment authorId="0" ref="O253">
      <text>
        <t xml:space="preserve">MIN(amortización pactada; MAX(0; pagado − cargos − interés)). No imputa excedentes a otras cuotas.</t>
      </text>
    </comment>
    <comment authorId="0" ref="P253">
      <text>
        <t xml:space="preserve">MAX(0; total pactado − pagado a esta cuota). Incluye capital, interés y cargos pendientes de ESA cuota.</t>
      </text>
    </comment>
    <comment authorId="0" ref="Q253">
      <text>
        <t xml:space="preserve">Días desde vencimiento hasta corte, solo si venció antes del corte y sigue con saldo.</t>
      </text>
    </comment>
    <comment authorId="0" ref="R253">
      <text>
        <t xml:space="preserve">MAX(0; pagado − cuota pactada). Exceso para revisar: no se traspasa a otra cuota.</t>
      </text>
    </comment>
    <comment authorId="0" ref="S253">
      <text>
        <t xml:space="preserve">Pagada, Vencida, Vence hoy, Por vencer o Exceso sin imputar según fecha y saldo al corte.</t>
      </text>
    </comment>
    <comment authorId="0" ref="T253">
      <text>
        <t xml:space="preserve">Auxiliar para encontrar la primera cuota pendiente. El 999999 indica que esta cuota no tiene saldo pendiente o está fuera del plazo, y no es una fecha real.</t>
      </text>
    </comment>
    <comment authorId="0" ref="C254">
      <text>
        <t xml:space="preserve">Crédito al que corresponde esta cuota.</t>
      </text>
    </comment>
    <comment authorId="0" ref="D254">
      <text>
        <t xml:space="preserve">Número de cuota dentro del crédito.</t>
      </text>
    </comment>
    <comment authorId="0" ref="E254">
      <text>
        <t xml:space="preserve">Fecha según EDATE a partir del primer vencimiento. No ajusta automáticamente feriados.</t>
      </text>
    </comment>
    <comment authorId="0" ref="F254">
      <text>
        <t xml:space="preserve">Capital al inicio del período en el calendario ORIGINAL, sin recalcular por pagos reales.</t>
      </text>
    </comment>
    <comment authorId="0" ref="G254">
      <text>
        <t xml:space="preserve">Tasa efectiva del mes según la base ingresada.</t>
      </text>
    </comment>
    <comment authorId="0" ref="H254">
      <text>
        <t xml:space="preserve">Interés del período = capital inicial × tasa mensual, redondeado a dos decimales.</t>
      </text>
    </comment>
    <comment authorId="0" ref="I254">
      <text>
        <t xml:space="preserve">Capital e interés pactados. La última cuota ajusta el saldo por redondeo.</t>
      </text>
    </comment>
    <comment authorId="0" ref="J254">
      <text>
        <t xml:space="preserve">Capital amortizado TEÓRICO = cuota base − interés, limitado al saldo.</t>
      </text>
    </comment>
    <comment authorId="0" ref="K254">
      <text>
        <t xml:space="preserve">Seguro y otros cargos fijos del mes.</t>
      </text>
    </comment>
    <comment authorId="0" ref="L254">
      <text>
        <t xml:space="preserve">Cuota base + cargos.</t>
      </text>
    </comment>
    <comment authorId="0" ref="M254">
      <text>
        <t xml:space="preserve">Capital final del calendario teórico. No equivale al saldo real si hay pagos parciales o atrasos.</t>
      </text>
    </comment>
    <comment authorId="0" ref="N254">
      <text>
        <t xml:space="preserve">Suma de pagos válidos del mismo ID y cuota con fecha igual o anterior al corte.</t>
      </text>
    </comment>
    <comment authorId="0" ref="O254">
      <text>
        <t xml:space="preserve">MIN(amortización pactada; MAX(0; pagado − cargos − interés)). No imputa excedentes a otras cuotas.</t>
      </text>
    </comment>
    <comment authorId="0" ref="P254">
      <text>
        <t xml:space="preserve">MAX(0; total pactado − pagado a esta cuota). Incluye capital, interés y cargos pendientes de ESA cuota.</t>
      </text>
    </comment>
    <comment authorId="0" ref="Q254">
      <text>
        <t xml:space="preserve">Días desde vencimiento hasta corte, solo si venció antes del corte y sigue con saldo.</t>
      </text>
    </comment>
    <comment authorId="0" ref="R254">
      <text>
        <t xml:space="preserve">MAX(0; pagado − cuota pactada). Exceso para revisar: no se traspasa a otra cuota.</t>
      </text>
    </comment>
    <comment authorId="0" ref="S254">
      <text>
        <t xml:space="preserve">Pagada, Vencida, Vence hoy, Por vencer o Exceso sin imputar según fecha y saldo al corte.</t>
      </text>
    </comment>
    <comment authorId="0" ref="T254">
      <text>
        <t xml:space="preserve">Auxiliar para encontrar la primera cuota pendiente. El 999999 indica que esta cuota no tiene saldo pendiente o está fuera del plazo, y no es una fecha real.</t>
      </text>
    </comment>
    <comment authorId="0" ref="C255">
      <text>
        <t xml:space="preserve">Crédito al que corresponde esta cuota.</t>
      </text>
    </comment>
    <comment authorId="0" ref="D255">
      <text>
        <t xml:space="preserve">Número de cuota dentro del crédito.</t>
      </text>
    </comment>
    <comment authorId="0" ref="E255">
      <text>
        <t xml:space="preserve">Fecha según EDATE a partir del primer vencimiento. No ajusta automáticamente feriados.</t>
      </text>
    </comment>
    <comment authorId="0" ref="F255">
      <text>
        <t xml:space="preserve">Capital al inicio del período en el calendario ORIGINAL, sin recalcular por pagos reales.</t>
      </text>
    </comment>
    <comment authorId="0" ref="G255">
      <text>
        <t xml:space="preserve">Tasa efectiva del mes según la base ingresada.</t>
      </text>
    </comment>
    <comment authorId="0" ref="H255">
      <text>
        <t xml:space="preserve">Interés del período = capital inicial × tasa mensual, redondeado a dos decimales.</t>
      </text>
    </comment>
    <comment authorId="0" ref="I255">
      <text>
        <t xml:space="preserve">Capital e interés pactados. La última cuota ajusta el saldo por redondeo.</t>
      </text>
    </comment>
    <comment authorId="0" ref="J255">
      <text>
        <t xml:space="preserve">Capital amortizado TEÓRICO = cuota base − interés, limitado al saldo.</t>
      </text>
    </comment>
    <comment authorId="0" ref="K255">
      <text>
        <t xml:space="preserve">Seguro y otros cargos fijos del mes.</t>
      </text>
    </comment>
    <comment authorId="0" ref="L255">
      <text>
        <t xml:space="preserve">Cuota base + cargos.</t>
      </text>
    </comment>
    <comment authorId="0" ref="M255">
      <text>
        <t xml:space="preserve">Capital final del calendario teórico. No equivale al saldo real si hay pagos parciales o atrasos.</t>
      </text>
    </comment>
    <comment authorId="0" ref="N255">
      <text>
        <t xml:space="preserve">Suma de pagos válidos del mismo ID y cuota con fecha igual o anterior al corte.</t>
      </text>
    </comment>
    <comment authorId="0" ref="O255">
      <text>
        <t xml:space="preserve">MIN(amortización pactada; MAX(0; pagado − cargos − interés)). No imputa excedentes a otras cuotas.</t>
      </text>
    </comment>
    <comment authorId="0" ref="P255">
      <text>
        <t xml:space="preserve">MAX(0; total pactado − pagado a esta cuota). Incluye capital, interés y cargos pendientes de ESA cuota.</t>
      </text>
    </comment>
    <comment authorId="0" ref="Q255">
      <text>
        <t xml:space="preserve">Días desde vencimiento hasta corte, solo si venció antes del corte y sigue con saldo.</t>
      </text>
    </comment>
    <comment authorId="0" ref="R255">
      <text>
        <t xml:space="preserve">MAX(0; pagado − cuota pactada). Exceso para revisar: no se traspasa a otra cuota.</t>
      </text>
    </comment>
    <comment authorId="0" ref="S255">
      <text>
        <t xml:space="preserve">Pagada, Vencida, Vence hoy, Por vencer o Exceso sin imputar según fecha y saldo al corte.</t>
      </text>
    </comment>
    <comment authorId="0" ref="T255">
      <text>
        <t xml:space="preserve">Auxiliar para encontrar la primera cuota pendiente. El 999999 indica que esta cuota no tiene saldo pendiente o está fuera del plazo, y no es una fecha real.</t>
      </text>
    </comment>
    <comment authorId="0" ref="C256">
      <text>
        <t xml:space="preserve">Crédito al que corresponde esta cuota.</t>
      </text>
    </comment>
    <comment authorId="0" ref="D256">
      <text>
        <t xml:space="preserve">Número de cuota dentro del crédito.</t>
      </text>
    </comment>
    <comment authorId="0" ref="E256">
      <text>
        <t xml:space="preserve">Fecha según EDATE a partir del primer vencimiento. No ajusta automáticamente feriados.</t>
      </text>
    </comment>
    <comment authorId="0" ref="F256">
      <text>
        <t xml:space="preserve">Capital al inicio del período en el calendario ORIGINAL, sin recalcular por pagos reales.</t>
      </text>
    </comment>
    <comment authorId="0" ref="G256">
      <text>
        <t xml:space="preserve">Tasa efectiva del mes según la base ingresada.</t>
      </text>
    </comment>
    <comment authorId="0" ref="H256">
      <text>
        <t xml:space="preserve">Interés del período = capital inicial × tasa mensual, redondeado a dos decimales.</t>
      </text>
    </comment>
    <comment authorId="0" ref="I256">
      <text>
        <t xml:space="preserve">Capital e interés pactados. La última cuota ajusta el saldo por redondeo.</t>
      </text>
    </comment>
    <comment authorId="0" ref="J256">
      <text>
        <t xml:space="preserve">Capital amortizado TEÓRICO = cuota base − interés, limitado al saldo.</t>
      </text>
    </comment>
    <comment authorId="0" ref="K256">
      <text>
        <t xml:space="preserve">Seguro y otros cargos fijos del mes.</t>
      </text>
    </comment>
    <comment authorId="0" ref="L256">
      <text>
        <t xml:space="preserve">Cuota base + cargos.</t>
      </text>
    </comment>
    <comment authorId="0" ref="M256">
      <text>
        <t xml:space="preserve">Capital final del calendario teórico. No equivale al saldo real si hay pagos parciales o atrasos.</t>
      </text>
    </comment>
    <comment authorId="0" ref="N256">
      <text>
        <t xml:space="preserve">Suma de pagos válidos del mismo ID y cuota con fecha igual o anterior al corte.</t>
      </text>
    </comment>
    <comment authorId="0" ref="O256">
      <text>
        <t xml:space="preserve">MIN(amortización pactada; MAX(0; pagado − cargos − interés)). No imputa excedentes a otras cuotas.</t>
      </text>
    </comment>
    <comment authorId="0" ref="P256">
      <text>
        <t xml:space="preserve">MAX(0; total pactado − pagado a esta cuota). Incluye capital, interés y cargos pendientes de ESA cuota.</t>
      </text>
    </comment>
    <comment authorId="0" ref="Q256">
      <text>
        <t xml:space="preserve">Días desde vencimiento hasta corte, solo si venció antes del corte y sigue con saldo.</t>
      </text>
    </comment>
    <comment authorId="0" ref="R256">
      <text>
        <t xml:space="preserve">MAX(0; pagado − cuota pactada). Exceso para revisar: no se traspasa a otra cuota.</t>
      </text>
    </comment>
    <comment authorId="0" ref="S256">
      <text>
        <t xml:space="preserve">Pagada, Vencida, Vence hoy, Por vencer o Exceso sin imputar según fecha y saldo al corte.</t>
      </text>
    </comment>
    <comment authorId="0" ref="T256">
      <text>
        <t xml:space="preserve">Auxiliar para encontrar la primera cuota pendiente. El 999999 indica que esta cuota no tiene saldo pendiente o está fuera del plazo, y no es una fecha real.</t>
      </text>
    </comment>
    <comment authorId="0" ref="C257">
      <text>
        <t xml:space="preserve">Crédito al que corresponde esta cuota.</t>
      </text>
    </comment>
    <comment authorId="0" ref="D257">
      <text>
        <t xml:space="preserve">Número de cuota dentro del crédito.</t>
      </text>
    </comment>
    <comment authorId="0" ref="E257">
      <text>
        <t xml:space="preserve">Fecha según EDATE a partir del primer vencimiento. No ajusta automáticamente feriados.</t>
      </text>
    </comment>
    <comment authorId="0" ref="F257">
      <text>
        <t xml:space="preserve">Capital al inicio del período en el calendario ORIGINAL, sin recalcular por pagos reales.</t>
      </text>
    </comment>
    <comment authorId="0" ref="G257">
      <text>
        <t xml:space="preserve">Tasa efectiva del mes según la base ingresada.</t>
      </text>
    </comment>
    <comment authorId="0" ref="H257">
      <text>
        <t xml:space="preserve">Interés del período = capital inicial × tasa mensual, redondeado a dos decimales.</t>
      </text>
    </comment>
    <comment authorId="0" ref="I257">
      <text>
        <t xml:space="preserve">Capital e interés pactados. La última cuota ajusta el saldo por redondeo.</t>
      </text>
    </comment>
    <comment authorId="0" ref="J257">
      <text>
        <t xml:space="preserve">Capital amortizado TEÓRICO = cuota base − interés, limitado al saldo.</t>
      </text>
    </comment>
    <comment authorId="0" ref="K257">
      <text>
        <t xml:space="preserve">Seguro y otros cargos fijos del mes.</t>
      </text>
    </comment>
    <comment authorId="0" ref="L257">
      <text>
        <t xml:space="preserve">Cuota base + cargos.</t>
      </text>
    </comment>
    <comment authorId="0" ref="M257">
      <text>
        <t xml:space="preserve">Capital final del calendario teórico. No equivale al saldo real si hay pagos parciales o atrasos.</t>
      </text>
    </comment>
    <comment authorId="0" ref="N257">
      <text>
        <t xml:space="preserve">Suma de pagos válidos del mismo ID y cuota con fecha igual o anterior al corte.</t>
      </text>
    </comment>
    <comment authorId="0" ref="O257">
      <text>
        <t xml:space="preserve">MIN(amortización pactada; MAX(0; pagado − cargos − interés)). No imputa excedentes a otras cuotas.</t>
      </text>
    </comment>
    <comment authorId="0" ref="P257">
      <text>
        <t xml:space="preserve">MAX(0; total pactado − pagado a esta cuota). Incluye capital, interés y cargos pendientes de ESA cuota.</t>
      </text>
    </comment>
    <comment authorId="0" ref="Q257">
      <text>
        <t xml:space="preserve">Días desde vencimiento hasta corte, solo si venció antes del corte y sigue con saldo.</t>
      </text>
    </comment>
    <comment authorId="0" ref="R257">
      <text>
        <t xml:space="preserve">MAX(0; pagado − cuota pactada). Exceso para revisar: no se traspasa a otra cuota.</t>
      </text>
    </comment>
    <comment authorId="0" ref="S257">
      <text>
        <t xml:space="preserve">Pagada, Vencida, Vence hoy, Por vencer o Exceso sin imputar según fecha y saldo al corte.</t>
      </text>
    </comment>
    <comment authorId="0" ref="T257">
      <text>
        <t xml:space="preserve">Auxiliar para encontrar la primera cuota pendiente. El 999999 indica que esta cuota no tiene saldo pendiente o está fuera del plazo, y no es una fecha real.</t>
      </text>
    </comment>
    <comment authorId="0" ref="C258">
      <text>
        <t xml:space="preserve">Crédito al que corresponde esta cuota.</t>
      </text>
    </comment>
    <comment authorId="0" ref="D258">
      <text>
        <t xml:space="preserve">Número de cuota dentro del crédito.</t>
      </text>
    </comment>
    <comment authorId="0" ref="E258">
      <text>
        <t xml:space="preserve">Fecha según EDATE a partir del primer vencimiento. No ajusta automáticamente feriados.</t>
      </text>
    </comment>
    <comment authorId="0" ref="F258">
      <text>
        <t xml:space="preserve">Capital al inicio del período en el calendario ORIGINAL, sin recalcular por pagos reales.</t>
      </text>
    </comment>
    <comment authorId="0" ref="G258">
      <text>
        <t xml:space="preserve">Tasa efectiva del mes según la base ingresada.</t>
      </text>
    </comment>
    <comment authorId="0" ref="H258">
      <text>
        <t xml:space="preserve">Interés del período = capital inicial × tasa mensual, redondeado a dos decimales.</t>
      </text>
    </comment>
    <comment authorId="0" ref="I258">
      <text>
        <t xml:space="preserve">Capital e interés pactados. La última cuota ajusta el saldo por redondeo.</t>
      </text>
    </comment>
    <comment authorId="0" ref="J258">
      <text>
        <t xml:space="preserve">Capital amortizado TEÓRICO = cuota base − interés, limitado al saldo.</t>
      </text>
    </comment>
    <comment authorId="0" ref="K258">
      <text>
        <t xml:space="preserve">Seguro y otros cargos fijos del mes.</t>
      </text>
    </comment>
    <comment authorId="0" ref="L258">
      <text>
        <t xml:space="preserve">Cuota base + cargos.</t>
      </text>
    </comment>
    <comment authorId="0" ref="M258">
      <text>
        <t xml:space="preserve">Capital final del calendario teórico. No equivale al saldo real si hay pagos parciales o atrasos.</t>
      </text>
    </comment>
    <comment authorId="0" ref="N258">
      <text>
        <t xml:space="preserve">Suma de pagos válidos del mismo ID y cuota con fecha igual o anterior al corte.</t>
      </text>
    </comment>
    <comment authorId="0" ref="O258">
      <text>
        <t xml:space="preserve">MIN(amortización pactada; MAX(0; pagado − cargos − interés)). No imputa excedentes a otras cuotas.</t>
      </text>
    </comment>
    <comment authorId="0" ref="P258">
      <text>
        <t xml:space="preserve">MAX(0; total pactado − pagado a esta cuota). Incluye capital, interés y cargos pendientes de ESA cuota.</t>
      </text>
    </comment>
    <comment authorId="0" ref="Q258">
      <text>
        <t xml:space="preserve">Días desde vencimiento hasta corte, solo si venció antes del corte y sigue con saldo.</t>
      </text>
    </comment>
    <comment authorId="0" ref="R258">
      <text>
        <t xml:space="preserve">MAX(0; pagado − cuota pactada). Exceso para revisar: no se traspasa a otra cuota.</t>
      </text>
    </comment>
    <comment authorId="0" ref="S258">
      <text>
        <t xml:space="preserve">Pagada, Vencida, Vence hoy, Por vencer o Exceso sin imputar según fecha y saldo al corte.</t>
      </text>
    </comment>
    <comment authorId="0" ref="T258">
      <text>
        <t xml:space="preserve">Auxiliar para encontrar la primera cuota pendiente. El 999999 indica que esta cuota no tiene saldo pendiente o está fuera del plazo, y no es una fecha real.</t>
      </text>
    </comment>
    <comment authorId="0" ref="C259">
      <text>
        <t xml:space="preserve">Crédito al que corresponde esta cuota.</t>
      </text>
    </comment>
    <comment authorId="0" ref="D259">
      <text>
        <t xml:space="preserve">Número de cuota dentro del crédito.</t>
      </text>
    </comment>
    <comment authorId="0" ref="E259">
      <text>
        <t xml:space="preserve">Fecha según EDATE a partir del primer vencimiento. No ajusta automáticamente feriados.</t>
      </text>
    </comment>
    <comment authorId="0" ref="F259">
      <text>
        <t xml:space="preserve">Capital al inicio del período en el calendario ORIGINAL, sin recalcular por pagos reales.</t>
      </text>
    </comment>
    <comment authorId="0" ref="G259">
      <text>
        <t xml:space="preserve">Tasa efectiva del mes según la base ingresada.</t>
      </text>
    </comment>
    <comment authorId="0" ref="H259">
      <text>
        <t xml:space="preserve">Interés del período = capital inicial × tasa mensual, redondeado a dos decimales.</t>
      </text>
    </comment>
    <comment authorId="0" ref="I259">
      <text>
        <t xml:space="preserve">Capital e interés pactados. La última cuota ajusta el saldo por redondeo.</t>
      </text>
    </comment>
    <comment authorId="0" ref="J259">
      <text>
        <t xml:space="preserve">Capital amortizado TEÓRICO = cuota base − interés, limitado al saldo.</t>
      </text>
    </comment>
    <comment authorId="0" ref="K259">
      <text>
        <t xml:space="preserve">Seguro y otros cargos fijos del mes.</t>
      </text>
    </comment>
    <comment authorId="0" ref="L259">
      <text>
        <t xml:space="preserve">Cuota base + cargos.</t>
      </text>
    </comment>
    <comment authorId="0" ref="M259">
      <text>
        <t xml:space="preserve">Capital final del calendario teórico. No equivale al saldo real si hay pagos parciales o atrasos.</t>
      </text>
    </comment>
    <comment authorId="0" ref="N259">
      <text>
        <t xml:space="preserve">Suma de pagos válidos del mismo ID y cuota con fecha igual o anterior al corte.</t>
      </text>
    </comment>
    <comment authorId="0" ref="O259">
      <text>
        <t xml:space="preserve">MIN(amortización pactada; MAX(0; pagado − cargos − interés)). No imputa excedentes a otras cuotas.</t>
      </text>
    </comment>
    <comment authorId="0" ref="P259">
      <text>
        <t xml:space="preserve">MAX(0; total pactado − pagado a esta cuota). Incluye capital, interés y cargos pendientes de ESA cuota.</t>
      </text>
    </comment>
    <comment authorId="0" ref="Q259">
      <text>
        <t xml:space="preserve">Días desde vencimiento hasta corte, solo si venció antes del corte y sigue con saldo.</t>
      </text>
    </comment>
    <comment authorId="0" ref="R259">
      <text>
        <t xml:space="preserve">MAX(0; pagado − cuota pactada). Exceso para revisar: no se traspasa a otra cuota.</t>
      </text>
    </comment>
    <comment authorId="0" ref="S259">
      <text>
        <t xml:space="preserve">Pagada, Vencida, Vence hoy, Por vencer o Exceso sin imputar según fecha y saldo al corte.</t>
      </text>
    </comment>
    <comment authorId="0" ref="T259">
      <text>
        <t xml:space="preserve">Auxiliar para encontrar la primera cuota pendiente. El 999999 indica que esta cuota no tiene saldo pendiente o está fuera del plazo, y no es una fecha real.</t>
      </text>
    </comment>
    <comment authorId="0" ref="C260">
      <text>
        <t xml:space="preserve">Crédito al que corresponde esta cuota.</t>
      </text>
    </comment>
    <comment authorId="0" ref="D260">
      <text>
        <t xml:space="preserve">Número de cuota dentro del crédito.</t>
      </text>
    </comment>
    <comment authorId="0" ref="E260">
      <text>
        <t xml:space="preserve">Fecha según EDATE a partir del primer vencimiento. No ajusta automáticamente feriados.</t>
      </text>
    </comment>
    <comment authorId="0" ref="F260">
      <text>
        <t xml:space="preserve">Capital al inicio del período en el calendario ORIGINAL, sin recalcular por pagos reales.</t>
      </text>
    </comment>
    <comment authorId="0" ref="G260">
      <text>
        <t xml:space="preserve">Tasa efectiva del mes según la base ingresada.</t>
      </text>
    </comment>
    <comment authorId="0" ref="H260">
      <text>
        <t xml:space="preserve">Interés del período = capital inicial × tasa mensual, redondeado a dos decimales.</t>
      </text>
    </comment>
    <comment authorId="0" ref="I260">
      <text>
        <t xml:space="preserve">Capital e interés pactados. La última cuota ajusta el saldo por redondeo.</t>
      </text>
    </comment>
    <comment authorId="0" ref="J260">
      <text>
        <t xml:space="preserve">Capital amortizado TEÓRICO = cuota base − interés, limitado al saldo.</t>
      </text>
    </comment>
    <comment authorId="0" ref="K260">
      <text>
        <t xml:space="preserve">Seguro y otros cargos fijos del mes.</t>
      </text>
    </comment>
    <comment authorId="0" ref="L260">
      <text>
        <t xml:space="preserve">Cuota base + cargos.</t>
      </text>
    </comment>
    <comment authorId="0" ref="M260">
      <text>
        <t xml:space="preserve">Capital final del calendario teórico. No equivale al saldo real si hay pagos parciales o atrasos.</t>
      </text>
    </comment>
    <comment authorId="0" ref="N260">
      <text>
        <t xml:space="preserve">Suma de pagos válidos del mismo ID y cuota con fecha igual o anterior al corte.</t>
      </text>
    </comment>
    <comment authorId="0" ref="O260">
      <text>
        <t xml:space="preserve">MIN(amortización pactada; MAX(0; pagado − cargos − interés)). No imputa excedentes a otras cuotas.</t>
      </text>
    </comment>
    <comment authorId="0" ref="P260">
      <text>
        <t xml:space="preserve">MAX(0; total pactado − pagado a esta cuota). Incluye capital, interés y cargos pendientes de ESA cuota.</t>
      </text>
    </comment>
    <comment authorId="0" ref="Q260">
      <text>
        <t xml:space="preserve">Días desde vencimiento hasta corte, solo si venció antes del corte y sigue con saldo.</t>
      </text>
    </comment>
    <comment authorId="0" ref="R260">
      <text>
        <t xml:space="preserve">MAX(0; pagado − cuota pactada). Exceso para revisar: no se traspasa a otra cuota.</t>
      </text>
    </comment>
    <comment authorId="0" ref="S260">
      <text>
        <t xml:space="preserve">Pagada, Vencida, Vence hoy, Por vencer o Exceso sin imputar según fecha y saldo al corte.</t>
      </text>
    </comment>
    <comment authorId="0" ref="T260">
      <text>
        <t xml:space="preserve">Auxiliar para encontrar la primera cuota pendiente. El 999999 indica que esta cuota no tiene saldo pendiente o está fuera del plazo, y no es una fecha real.</t>
      </text>
    </comment>
    <comment authorId="0" ref="C261">
      <text>
        <t xml:space="preserve">Crédito al que corresponde esta cuota.</t>
      </text>
    </comment>
    <comment authorId="0" ref="D261">
      <text>
        <t xml:space="preserve">Número de cuota dentro del crédito.</t>
      </text>
    </comment>
    <comment authorId="0" ref="E261">
      <text>
        <t xml:space="preserve">Fecha según EDATE a partir del primer vencimiento. No ajusta automáticamente feriados.</t>
      </text>
    </comment>
    <comment authorId="0" ref="F261">
      <text>
        <t xml:space="preserve">Capital al inicio del período en el calendario ORIGINAL, sin recalcular por pagos reales.</t>
      </text>
    </comment>
    <comment authorId="0" ref="G261">
      <text>
        <t xml:space="preserve">Tasa efectiva del mes según la base ingresada.</t>
      </text>
    </comment>
    <comment authorId="0" ref="H261">
      <text>
        <t xml:space="preserve">Interés del período = capital inicial × tasa mensual, redondeado a dos decimales.</t>
      </text>
    </comment>
    <comment authorId="0" ref="I261">
      <text>
        <t xml:space="preserve">Capital e interés pactados. La última cuota ajusta el saldo por redondeo.</t>
      </text>
    </comment>
    <comment authorId="0" ref="J261">
      <text>
        <t xml:space="preserve">Capital amortizado TEÓRICO = cuota base − interés, limitado al saldo.</t>
      </text>
    </comment>
    <comment authorId="0" ref="K261">
      <text>
        <t xml:space="preserve">Seguro y otros cargos fijos del mes.</t>
      </text>
    </comment>
    <comment authorId="0" ref="L261">
      <text>
        <t xml:space="preserve">Cuota base + cargos.</t>
      </text>
    </comment>
    <comment authorId="0" ref="M261">
      <text>
        <t xml:space="preserve">Capital final del calendario teórico. No equivale al saldo real si hay pagos parciales o atrasos.</t>
      </text>
    </comment>
    <comment authorId="0" ref="N261">
      <text>
        <t xml:space="preserve">Suma de pagos válidos del mismo ID y cuota con fecha igual o anterior al corte.</t>
      </text>
    </comment>
    <comment authorId="0" ref="O261">
      <text>
        <t xml:space="preserve">MIN(amortización pactada; MAX(0; pagado − cargos − interés)). No imputa excedentes a otras cuotas.</t>
      </text>
    </comment>
    <comment authorId="0" ref="P261">
      <text>
        <t xml:space="preserve">MAX(0; total pactado − pagado a esta cuota). Incluye capital, interés y cargos pendientes de ESA cuota.</t>
      </text>
    </comment>
    <comment authorId="0" ref="Q261">
      <text>
        <t xml:space="preserve">Días desde vencimiento hasta corte, solo si venció antes del corte y sigue con saldo.</t>
      </text>
    </comment>
    <comment authorId="0" ref="R261">
      <text>
        <t xml:space="preserve">MAX(0; pagado − cuota pactada). Exceso para revisar: no se traspasa a otra cuota.</t>
      </text>
    </comment>
    <comment authorId="0" ref="S261">
      <text>
        <t xml:space="preserve">Pagada, Vencida, Vence hoy, Por vencer o Exceso sin imputar según fecha y saldo al corte.</t>
      </text>
    </comment>
    <comment authorId="0" ref="T261">
      <text>
        <t xml:space="preserve">Auxiliar para encontrar la primera cuota pendiente. El 999999 indica que esta cuota no tiene saldo pendiente o está fuera del plazo, y no es una fecha real.</t>
      </text>
    </comment>
    <comment authorId="0" ref="C262">
      <text>
        <t xml:space="preserve">Crédito al que corresponde esta cuota.</t>
      </text>
    </comment>
    <comment authorId="0" ref="D262">
      <text>
        <t xml:space="preserve">Número de cuota dentro del crédito.</t>
      </text>
    </comment>
    <comment authorId="0" ref="E262">
      <text>
        <t xml:space="preserve">Fecha según EDATE a partir del primer vencimiento. No ajusta automáticamente feriados.</t>
      </text>
    </comment>
    <comment authorId="0" ref="F262">
      <text>
        <t xml:space="preserve">Capital al inicio del período en el calendario ORIGINAL, sin recalcular por pagos reales.</t>
      </text>
    </comment>
    <comment authorId="0" ref="G262">
      <text>
        <t xml:space="preserve">Tasa efectiva del mes según la base ingresada.</t>
      </text>
    </comment>
    <comment authorId="0" ref="H262">
      <text>
        <t xml:space="preserve">Interés del período = capital inicial × tasa mensual, redondeado a dos decimales.</t>
      </text>
    </comment>
    <comment authorId="0" ref="I262">
      <text>
        <t xml:space="preserve">Capital e interés pactados. La última cuota ajusta el saldo por redondeo.</t>
      </text>
    </comment>
    <comment authorId="0" ref="J262">
      <text>
        <t xml:space="preserve">Capital amortizado TEÓRICO = cuota base − interés, limitado al saldo.</t>
      </text>
    </comment>
    <comment authorId="0" ref="K262">
      <text>
        <t xml:space="preserve">Seguro y otros cargos fijos del mes.</t>
      </text>
    </comment>
    <comment authorId="0" ref="L262">
      <text>
        <t xml:space="preserve">Cuota base + cargos.</t>
      </text>
    </comment>
    <comment authorId="0" ref="M262">
      <text>
        <t xml:space="preserve">Capital final del calendario teórico. No equivale al saldo real si hay pagos parciales o atrasos.</t>
      </text>
    </comment>
    <comment authorId="0" ref="N262">
      <text>
        <t xml:space="preserve">Suma de pagos válidos del mismo ID y cuota con fecha igual o anterior al corte.</t>
      </text>
    </comment>
    <comment authorId="0" ref="O262">
      <text>
        <t xml:space="preserve">MIN(amortización pactada; MAX(0; pagado − cargos − interés)). No imputa excedentes a otras cuotas.</t>
      </text>
    </comment>
    <comment authorId="0" ref="P262">
      <text>
        <t xml:space="preserve">MAX(0; total pactado − pagado a esta cuota). Incluye capital, interés y cargos pendientes de ESA cuota.</t>
      </text>
    </comment>
    <comment authorId="0" ref="Q262">
      <text>
        <t xml:space="preserve">Días desde vencimiento hasta corte, solo si venció antes del corte y sigue con saldo.</t>
      </text>
    </comment>
    <comment authorId="0" ref="R262">
      <text>
        <t xml:space="preserve">MAX(0; pagado − cuota pactada). Exceso para revisar: no se traspasa a otra cuota.</t>
      </text>
    </comment>
    <comment authorId="0" ref="S262">
      <text>
        <t xml:space="preserve">Pagada, Vencida, Vence hoy, Por vencer o Exceso sin imputar según fecha y saldo al corte.</t>
      </text>
    </comment>
    <comment authorId="0" ref="T262">
      <text>
        <t xml:space="preserve">Auxiliar para encontrar la primera cuota pendiente. El 999999 indica que esta cuota no tiene saldo pendiente o está fuera del plazo, y no es una fecha real.</t>
      </text>
    </comment>
    <comment authorId="0" ref="C263">
      <text>
        <t xml:space="preserve">Crédito al que corresponde esta cuota.</t>
      </text>
    </comment>
    <comment authorId="0" ref="D263">
      <text>
        <t xml:space="preserve">Número de cuota dentro del crédito.</t>
      </text>
    </comment>
    <comment authorId="0" ref="E263">
      <text>
        <t xml:space="preserve">Fecha según EDATE a partir del primer vencimiento. No ajusta automáticamente feriados.</t>
      </text>
    </comment>
    <comment authorId="0" ref="F263">
      <text>
        <t xml:space="preserve">Capital al inicio del período en el calendario ORIGINAL, sin recalcular por pagos reales.</t>
      </text>
    </comment>
    <comment authorId="0" ref="G263">
      <text>
        <t xml:space="preserve">Tasa efectiva del mes según la base ingresada.</t>
      </text>
    </comment>
    <comment authorId="0" ref="H263">
      <text>
        <t xml:space="preserve">Interés del período = capital inicial × tasa mensual, redondeado a dos decimales.</t>
      </text>
    </comment>
    <comment authorId="0" ref="I263">
      <text>
        <t xml:space="preserve">Capital e interés pactados. La última cuota ajusta el saldo por redondeo.</t>
      </text>
    </comment>
    <comment authorId="0" ref="J263">
      <text>
        <t xml:space="preserve">Capital amortizado TEÓRICO = cuota base − interés, limitado al saldo.</t>
      </text>
    </comment>
    <comment authorId="0" ref="K263">
      <text>
        <t xml:space="preserve">Seguro y otros cargos fijos del mes.</t>
      </text>
    </comment>
    <comment authorId="0" ref="L263">
      <text>
        <t xml:space="preserve">Cuota base + cargos.</t>
      </text>
    </comment>
    <comment authorId="0" ref="M263">
      <text>
        <t xml:space="preserve">Capital final del calendario teórico. No equivale al saldo real si hay pagos parciales o atrasos.</t>
      </text>
    </comment>
    <comment authorId="0" ref="N263">
      <text>
        <t xml:space="preserve">Suma de pagos válidos del mismo ID y cuota con fecha igual o anterior al corte.</t>
      </text>
    </comment>
    <comment authorId="0" ref="O263">
      <text>
        <t xml:space="preserve">MIN(amortización pactada; MAX(0; pagado − cargos − interés)). No imputa excedentes a otras cuotas.</t>
      </text>
    </comment>
    <comment authorId="0" ref="P263">
      <text>
        <t xml:space="preserve">MAX(0; total pactado − pagado a esta cuota). Incluye capital, interés y cargos pendientes de ESA cuota.</t>
      </text>
    </comment>
    <comment authorId="0" ref="Q263">
      <text>
        <t xml:space="preserve">Días desde vencimiento hasta corte, solo si venció antes del corte y sigue con saldo.</t>
      </text>
    </comment>
    <comment authorId="0" ref="R263">
      <text>
        <t xml:space="preserve">MAX(0; pagado − cuota pactada). Exceso para revisar: no se traspasa a otra cuota.</t>
      </text>
    </comment>
    <comment authorId="0" ref="S263">
      <text>
        <t xml:space="preserve">Pagada, Vencida, Vence hoy, Por vencer o Exceso sin imputar según fecha y saldo al corte.</t>
      </text>
    </comment>
    <comment authorId="0" ref="T263">
      <text>
        <t xml:space="preserve">Auxiliar para encontrar la primera cuota pendiente. El 999999 indica que esta cuota no tiene saldo pendiente o está fuera del plazo, y no es una fecha real.</t>
      </text>
    </comment>
    <comment authorId="0" ref="C264">
      <text>
        <t xml:space="preserve">Crédito al que corresponde esta cuota.</t>
      </text>
    </comment>
    <comment authorId="0" ref="D264">
      <text>
        <t xml:space="preserve">Número de cuota dentro del crédito.</t>
      </text>
    </comment>
    <comment authorId="0" ref="E264">
      <text>
        <t xml:space="preserve">Fecha según EDATE a partir del primer vencimiento. No ajusta automáticamente feriados.</t>
      </text>
    </comment>
    <comment authorId="0" ref="F264">
      <text>
        <t xml:space="preserve">Capital al inicio del período en el calendario ORIGINAL, sin recalcular por pagos reales.</t>
      </text>
    </comment>
    <comment authorId="0" ref="G264">
      <text>
        <t xml:space="preserve">Tasa efectiva del mes según la base ingresada.</t>
      </text>
    </comment>
    <comment authorId="0" ref="H264">
      <text>
        <t xml:space="preserve">Interés del período = capital inicial × tasa mensual, redondeado a dos decimales.</t>
      </text>
    </comment>
    <comment authorId="0" ref="I264">
      <text>
        <t xml:space="preserve">Capital e interés pactados. La última cuota ajusta el saldo por redondeo.</t>
      </text>
    </comment>
    <comment authorId="0" ref="J264">
      <text>
        <t xml:space="preserve">Capital amortizado TEÓRICO = cuota base − interés, limitado al saldo.</t>
      </text>
    </comment>
    <comment authorId="0" ref="K264">
      <text>
        <t xml:space="preserve">Seguro y otros cargos fijos del mes.</t>
      </text>
    </comment>
    <comment authorId="0" ref="L264">
      <text>
        <t xml:space="preserve">Cuota base + cargos.</t>
      </text>
    </comment>
    <comment authorId="0" ref="M264">
      <text>
        <t xml:space="preserve">Capital final del calendario teórico. No equivale al saldo real si hay pagos parciales o atrasos.</t>
      </text>
    </comment>
    <comment authorId="0" ref="N264">
      <text>
        <t xml:space="preserve">Suma de pagos válidos del mismo ID y cuota con fecha igual o anterior al corte.</t>
      </text>
    </comment>
    <comment authorId="0" ref="O264">
      <text>
        <t xml:space="preserve">MIN(amortización pactada; MAX(0; pagado − cargos − interés)). No imputa excedentes a otras cuotas.</t>
      </text>
    </comment>
    <comment authorId="0" ref="P264">
      <text>
        <t xml:space="preserve">MAX(0; total pactado − pagado a esta cuota). Incluye capital, interés y cargos pendientes de ESA cuota.</t>
      </text>
    </comment>
    <comment authorId="0" ref="Q264">
      <text>
        <t xml:space="preserve">Días desde vencimiento hasta corte, solo si venció antes del corte y sigue con saldo.</t>
      </text>
    </comment>
    <comment authorId="0" ref="R264">
      <text>
        <t xml:space="preserve">MAX(0; pagado − cuota pactada). Exceso para revisar: no se traspasa a otra cuota.</t>
      </text>
    </comment>
    <comment authorId="0" ref="S264">
      <text>
        <t xml:space="preserve">Pagada, Vencida, Vence hoy, Por vencer o Exceso sin imputar según fecha y saldo al corte.</t>
      </text>
    </comment>
    <comment authorId="0" ref="T264">
      <text>
        <t xml:space="preserve">Auxiliar para encontrar la primera cuota pendiente. El 999999 indica que esta cuota no tiene saldo pendiente o está fuera del plazo, y no es una fecha real.</t>
      </text>
    </comment>
    <comment authorId="0" ref="C265">
      <text>
        <t xml:space="preserve">Crédito al que corresponde esta cuota.</t>
      </text>
    </comment>
    <comment authorId="0" ref="D265">
      <text>
        <t xml:space="preserve">Número de cuota dentro del crédito.</t>
      </text>
    </comment>
    <comment authorId="0" ref="E265">
      <text>
        <t xml:space="preserve">Fecha según EDATE a partir del primer vencimiento. No ajusta automáticamente feriados.</t>
      </text>
    </comment>
    <comment authorId="0" ref="F265">
      <text>
        <t xml:space="preserve">Capital al inicio del período en el calendario ORIGINAL, sin recalcular por pagos reales.</t>
      </text>
    </comment>
    <comment authorId="0" ref="G265">
      <text>
        <t xml:space="preserve">Tasa efectiva del mes según la base ingresada.</t>
      </text>
    </comment>
    <comment authorId="0" ref="H265">
      <text>
        <t xml:space="preserve">Interés del período = capital inicial × tasa mensual, redondeado a dos decimales.</t>
      </text>
    </comment>
    <comment authorId="0" ref="I265">
      <text>
        <t xml:space="preserve">Capital e interés pactados. La última cuota ajusta el saldo por redondeo.</t>
      </text>
    </comment>
    <comment authorId="0" ref="J265">
      <text>
        <t xml:space="preserve">Capital amortizado TEÓRICO = cuota base − interés, limitado al saldo.</t>
      </text>
    </comment>
    <comment authorId="0" ref="K265">
      <text>
        <t xml:space="preserve">Seguro y otros cargos fijos del mes.</t>
      </text>
    </comment>
    <comment authorId="0" ref="L265">
      <text>
        <t xml:space="preserve">Cuota base + cargos.</t>
      </text>
    </comment>
    <comment authorId="0" ref="M265">
      <text>
        <t xml:space="preserve">Capital final del calendario teórico. No equivale al saldo real si hay pagos parciales o atrasos.</t>
      </text>
    </comment>
    <comment authorId="0" ref="N265">
      <text>
        <t xml:space="preserve">Suma de pagos válidos del mismo ID y cuota con fecha igual o anterior al corte.</t>
      </text>
    </comment>
    <comment authorId="0" ref="O265">
      <text>
        <t xml:space="preserve">MIN(amortización pactada; MAX(0; pagado − cargos − interés)). No imputa excedentes a otras cuotas.</t>
      </text>
    </comment>
    <comment authorId="0" ref="P265">
      <text>
        <t xml:space="preserve">MAX(0; total pactado − pagado a esta cuota). Incluye capital, interés y cargos pendientes de ESA cuota.</t>
      </text>
    </comment>
    <comment authorId="0" ref="Q265">
      <text>
        <t xml:space="preserve">Días desde vencimiento hasta corte, solo si venció antes del corte y sigue con saldo.</t>
      </text>
    </comment>
    <comment authorId="0" ref="R265">
      <text>
        <t xml:space="preserve">MAX(0; pagado − cuota pactada). Exceso para revisar: no se traspasa a otra cuota.</t>
      </text>
    </comment>
    <comment authorId="0" ref="S265">
      <text>
        <t xml:space="preserve">Pagada, Vencida, Vence hoy, Por vencer o Exceso sin imputar según fecha y saldo al corte.</t>
      </text>
    </comment>
    <comment authorId="0" ref="T265">
      <text>
        <t xml:space="preserve">Auxiliar para encontrar la primera cuota pendiente. El 999999 indica que esta cuota no tiene saldo pendiente o está fuera del plazo, y no es una fecha real.</t>
      </text>
    </comment>
    <comment authorId="0" ref="C266">
      <text>
        <t xml:space="preserve">Crédito al que corresponde esta cuota.</t>
      </text>
    </comment>
    <comment authorId="0" ref="D266">
      <text>
        <t xml:space="preserve">Número de cuota dentro del crédito.</t>
      </text>
    </comment>
    <comment authorId="0" ref="E266">
      <text>
        <t xml:space="preserve">Fecha según EDATE a partir del primer vencimiento. No ajusta automáticamente feriados.</t>
      </text>
    </comment>
    <comment authorId="0" ref="F266">
      <text>
        <t xml:space="preserve">Capital al inicio del período en el calendario ORIGINAL, sin recalcular por pagos reales.</t>
      </text>
    </comment>
    <comment authorId="0" ref="G266">
      <text>
        <t xml:space="preserve">Tasa efectiva del mes según la base ingresada.</t>
      </text>
    </comment>
    <comment authorId="0" ref="H266">
      <text>
        <t xml:space="preserve">Interés del período = capital inicial × tasa mensual, redondeado a dos decimales.</t>
      </text>
    </comment>
    <comment authorId="0" ref="I266">
      <text>
        <t xml:space="preserve">Capital e interés pactados. La última cuota ajusta el saldo por redondeo.</t>
      </text>
    </comment>
    <comment authorId="0" ref="J266">
      <text>
        <t xml:space="preserve">Capital amortizado TEÓRICO = cuota base − interés, limitado al saldo.</t>
      </text>
    </comment>
    <comment authorId="0" ref="K266">
      <text>
        <t xml:space="preserve">Seguro y otros cargos fijos del mes.</t>
      </text>
    </comment>
    <comment authorId="0" ref="L266">
      <text>
        <t xml:space="preserve">Cuota base + cargos.</t>
      </text>
    </comment>
    <comment authorId="0" ref="M266">
      <text>
        <t xml:space="preserve">Capital final del calendario teórico. No equivale al saldo real si hay pagos parciales o atrasos.</t>
      </text>
    </comment>
    <comment authorId="0" ref="N266">
      <text>
        <t xml:space="preserve">Suma de pagos válidos del mismo ID y cuota con fecha igual o anterior al corte.</t>
      </text>
    </comment>
    <comment authorId="0" ref="O266">
      <text>
        <t xml:space="preserve">MIN(amortización pactada; MAX(0; pagado − cargos − interés)). No imputa excedentes a otras cuotas.</t>
      </text>
    </comment>
    <comment authorId="0" ref="P266">
      <text>
        <t xml:space="preserve">MAX(0; total pactado − pagado a esta cuota). Incluye capital, interés y cargos pendientes de ESA cuota.</t>
      </text>
    </comment>
    <comment authorId="0" ref="Q266">
      <text>
        <t xml:space="preserve">Días desde vencimiento hasta corte, solo si venció antes del corte y sigue con saldo.</t>
      </text>
    </comment>
    <comment authorId="0" ref="R266">
      <text>
        <t xml:space="preserve">MAX(0; pagado − cuota pactada). Exceso para revisar: no se traspasa a otra cuota.</t>
      </text>
    </comment>
    <comment authorId="0" ref="S266">
      <text>
        <t xml:space="preserve">Pagada, Vencida, Vence hoy, Por vencer o Exceso sin imputar según fecha y saldo al corte.</t>
      </text>
    </comment>
    <comment authorId="0" ref="T266">
      <text>
        <t xml:space="preserve">Auxiliar para encontrar la primera cuota pendiente. El 999999 indica que esta cuota no tiene saldo pendiente o está fuera del plazo, y no es una fecha real.</t>
      </text>
    </comment>
    <comment authorId="0" ref="C267">
      <text>
        <t xml:space="preserve">Crédito al que corresponde esta cuota.</t>
      </text>
    </comment>
    <comment authorId="0" ref="D267">
      <text>
        <t xml:space="preserve">Número de cuota dentro del crédito.</t>
      </text>
    </comment>
    <comment authorId="0" ref="E267">
      <text>
        <t xml:space="preserve">Fecha según EDATE a partir del primer vencimiento. No ajusta automáticamente feriados.</t>
      </text>
    </comment>
    <comment authorId="0" ref="F267">
      <text>
        <t xml:space="preserve">Capital al inicio del período en el calendario ORIGINAL, sin recalcular por pagos reales.</t>
      </text>
    </comment>
    <comment authorId="0" ref="G267">
      <text>
        <t xml:space="preserve">Tasa efectiva del mes según la base ingresada.</t>
      </text>
    </comment>
    <comment authorId="0" ref="H267">
      <text>
        <t xml:space="preserve">Interés del período = capital inicial × tasa mensual, redondeado a dos decimales.</t>
      </text>
    </comment>
    <comment authorId="0" ref="I267">
      <text>
        <t xml:space="preserve">Capital e interés pactados. La última cuota ajusta el saldo por redondeo.</t>
      </text>
    </comment>
    <comment authorId="0" ref="J267">
      <text>
        <t xml:space="preserve">Capital amortizado TEÓRICO = cuota base − interés, limitado al saldo.</t>
      </text>
    </comment>
    <comment authorId="0" ref="K267">
      <text>
        <t xml:space="preserve">Seguro y otros cargos fijos del mes.</t>
      </text>
    </comment>
    <comment authorId="0" ref="L267">
      <text>
        <t xml:space="preserve">Cuota base + cargos.</t>
      </text>
    </comment>
    <comment authorId="0" ref="M267">
      <text>
        <t xml:space="preserve">Capital final del calendario teórico. No equivale al saldo real si hay pagos parciales o atrasos.</t>
      </text>
    </comment>
    <comment authorId="0" ref="N267">
      <text>
        <t xml:space="preserve">Suma de pagos válidos del mismo ID y cuota con fecha igual o anterior al corte.</t>
      </text>
    </comment>
    <comment authorId="0" ref="O267">
      <text>
        <t xml:space="preserve">MIN(amortización pactada; MAX(0; pagado − cargos − interés)). No imputa excedentes a otras cuotas.</t>
      </text>
    </comment>
    <comment authorId="0" ref="P267">
      <text>
        <t xml:space="preserve">MAX(0; total pactado − pagado a esta cuota). Incluye capital, interés y cargos pendientes de ESA cuota.</t>
      </text>
    </comment>
    <comment authorId="0" ref="Q267">
      <text>
        <t xml:space="preserve">Días desde vencimiento hasta corte, solo si venció antes del corte y sigue con saldo.</t>
      </text>
    </comment>
    <comment authorId="0" ref="R267">
      <text>
        <t xml:space="preserve">MAX(0; pagado − cuota pactada). Exceso para revisar: no se traspasa a otra cuota.</t>
      </text>
    </comment>
    <comment authorId="0" ref="S267">
      <text>
        <t xml:space="preserve">Pagada, Vencida, Vence hoy, Por vencer o Exceso sin imputar según fecha y saldo al corte.</t>
      </text>
    </comment>
    <comment authorId="0" ref="T267">
      <text>
        <t xml:space="preserve">Auxiliar para encontrar la primera cuota pendiente. El 999999 indica que esta cuota no tiene saldo pendiente o está fuera del plazo, y no es una fecha real.</t>
      </text>
    </comment>
    <comment authorId="0" ref="C268">
      <text>
        <t xml:space="preserve">Crédito al que corresponde esta cuota.</t>
      </text>
    </comment>
    <comment authorId="0" ref="D268">
      <text>
        <t xml:space="preserve">Número de cuota dentro del crédito.</t>
      </text>
    </comment>
    <comment authorId="0" ref="E268">
      <text>
        <t xml:space="preserve">Fecha según EDATE a partir del primer vencimiento. No ajusta automáticamente feriados.</t>
      </text>
    </comment>
    <comment authorId="0" ref="F268">
      <text>
        <t xml:space="preserve">Capital al inicio del período en el calendario ORIGINAL, sin recalcular por pagos reales.</t>
      </text>
    </comment>
    <comment authorId="0" ref="G268">
      <text>
        <t xml:space="preserve">Tasa efectiva del mes según la base ingresada.</t>
      </text>
    </comment>
    <comment authorId="0" ref="H268">
      <text>
        <t xml:space="preserve">Interés del período = capital inicial × tasa mensual, redondeado a dos decimales.</t>
      </text>
    </comment>
    <comment authorId="0" ref="I268">
      <text>
        <t xml:space="preserve">Capital e interés pactados. La última cuota ajusta el saldo por redondeo.</t>
      </text>
    </comment>
    <comment authorId="0" ref="J268">
      <text>
        <t xml:space="preserve">Capital amortizado TEÓRICO = cuota base − interés, limitado al saldo.</t>
      </text>
    </comment>
    <comment authorId="0" ref="K268">
      <text>
        <t xml:space="preserve">Seguro y otros cargos fijos del mes.</t>
      </text>
    </comment>
    <comment authorId="0" ref="L268">
      <text>
        <t xml:space="preserve">Cuota base + cargos.</t>
      </text>
    </comment>
    <comment authorId="0" ref="M268">
      <text>
        <t xml:space="preserve">Capital final del calendario teórico. No equivale al saldo real si hay pagos parciales o atrasos.</t>
      </text>
    </comment>
    <comment authorId="0" ref="N268">
      <text>
        <t xml:space="preserve">Suma de pagos válidos del mismo ID y cuota con fecha igual o anterior al corte.</t>
      </text>
    </comment>
    <comment authorId="0" ref="O268">
      <text>
        <t xml:space="preserve">MIN(amortización pactada; MAX(0; pagado − cargos − interés)). No imputa excedentes a otras cuotas.</t>
      </text>
    </comment>
    <comment authorId="0" ref="P268">
      <text>
        <t xml:space="preserve">MAX(0; total pactado − pagado a esta cuota). Incluye capital, interés y cargos pendientes de ESA cuota.</t>
      </text>
    </comment>
    <comment authorId="0" ref="Q268">
      <text>
        <t xml:space="preserve">Días desde vencimiento hasta corte, solo si venció antes del corte y sigue con saldo.</t>
      </text>
    </comment>
    <comment authorId="0" ref="R268">
      <text>
        <t xml:space="preserve">MAX(0; pagado − cuota pactada). Exceso para revisar: no se traspasa a otra cuota.</t>
      </text>
    </comment>
    <comment authorId="0" ref="S268">
      <text>
        <t xml:space="preserve">Pagada, Vencida, Vence hoy, Por vencer o Exceso sin imputar según fecha y saldo al corte.</t>
      </text>
    </comment>
    <comment authorId="0" ref="T268">
      <text>
        <t xml:space="preserve">Auxiliar para encontrar la primera cuota pendiente. El 999999 indica que esta cuota no tiene saldo pendiente o está fuera del plazo, y no es una fecha real.</t>
      </text>
    </comment>
    <comment authorId="0" ref="C269">
      <text>
        <t xml:space="preserve">Crédito al que corresponde esta cuota.</t>
      </text>
    </comment>
    <comment authorId="0" ref="D269">
      <text>
        <t xml:space="preserve">Número de cuota dentro del crédito.</t>
      </text>
    </comment>
    <comment authorId="0" ref="E269">
      <text>
        <t xml:space="preserve">Fecha según EDATE a partir del primer vencimiento. No ajusta automáticamente feriados.</t>
      </text>
    </comment>
    <comment authorId="0" ref="F269">
      <text>
        <t xml:space="preserve">Capital al inicio del período en el calendario ORIGINAL, sin recalcular por pagos reales.</t>
      </text>
    </comment>
    <comment authorId="0" ref="G269">
      <text>
        <t xml:space="preserve">Tasa efectiva del mes según la base ingresada.</t>
      </text>
    </comment>
    <comment authorId="0" ref="H269">
      <text>
        <t xml:space="preserve">Interés del período = capital inicial × tasa mensual, redondeado a dos decimales.</t>
      </text>
    </comment>
    <comment authorId="0" ref="I269">
      <text>
        <t xml:space="preserve">Capital e interés pactados. La última cuota ajusta el saldo por redondeo.</t>
      </text>
    </comment>
    <comment authorId="0" ref="J269">
      <text>
        <t xml:space="preserve">Capital amortizado TEÓRICO = cuota base − interés, limitado al saldo.</t>
      </text>
    </comment>
    <comment authorId="0" ref="K269">
      <text>
        <t xml:space="preserve">Seguro y otros cargos fijos del mes.</t>
      </text>
    </comment>
    <comment authorId="0" ref="L269">
      <text>
        <t xml:space="preserve">Cuota base + cargos.</t>
      </text>
    </comment>
    <comment authorId="0" ref="M269">
      <text>
        <t xml:space="preserve">Capital final del calendario teórico. No equivale al saldo real si hay pagos parciales o atrasos.</t>
      </text>
    </comment>
    <comment authorId="0" ref="N269">
      <text>
        <t xml:space="preserve">Suma de pagos válidos del mismo ID y cuota con fecha igual o anterior al corte.</t>
      </text>
    </comment>
    <comment authorId="0" ref="O269">
      <text>
        <t xml:space="preserve">MIN(amortización pactada; MAX(0; pagado − cargos − interés)). No imputa excedentes a otras cuotas.</t>
      </text>
    </comment>
    <comment authorId="0" ref="P269">
      <text>
        <t xml:space="preserve">MAX(0; total pactado − pagado a esta cuota). Incluye capital, interés y cargos pendientes de ESA cuota.</t>
      </text>
    </comment>
    <comment authorId="0" ref="Q269">
      <text>
        <t xml:space="preserve">Días desde vencimiento hasta corte, solo si venció antes del corte y sigue con saldo.</t>
      </text>
    </comment>
    <comment authorId="0" ref="R269">
      <text>
        <t xml:space="preserve">MAX(0; pagado − cuota pactada). Exceso para revisar: no se traspasa a otra cuota.</t>
      </text>
    </comment>
    <comment authorId="0" ref="S269">
      <text>
        <t xml:space="preserve">Pagada, Vencida, Vence hoy, Por vencer o Exceso sin imputar según fecha y saldo al corte.</t>
      </text>
    </comment>
    <comment authorId="0" ref="T269">
      <text>
        <t xml:space="preserve">Auxiliar para encontrar la primera cuota pendiente. El 999999 indica que esta cuota no tiene saldo pendiente o está fuera del plazo, y no es una fecha real.</t>
      </text>
    </comment>
    <comment authorId="0" ref="C270">
      <text>
        <t xml:space="preserve">Crédito al que corresponde esta cuota.</t>
      </text>
    </comment>
    <comment authorId="0" ref="D270">
      <text>
        <t xml:space="preserve">Número de cuota dentro del crédito.</t>
      </text>
    </comment>
    <comment authorId="0" ref="E270">
      <text>
        <t xml:space="preserve">Fecha según EDATE a partir del primer vencimiento. No ajusta automáticamente feriados.</t>
      </text>
    </comment>
    <comment authorId="0" ref="F270">
      <text>
        <t xml:space="preserve">Capital al inicio del período en el calendario ORIGINAL, sin recalcular por pagos reales.</t>
      </text>
    </comment>
    <comment authorId="0" ref="G270">
      <text>
        <t xml:space="preserve">Tasa efectiva del mes según la base ingresada.</t>
      </text>
    </comment>
    <comment authorId="0" ref="H270">
      <text>
        <t xml:space="preserve">Interés del período = capital inicial × tasa mensual, redondeado a dos decimales.</t>
      </text>
    </comment>
    <comment authorId="0" ref="I270">
      <text>
        <t xml:space="preserve">Capital e interés pactados. La última cuota ajusta el saldo por redondeo.</t>
      </text>
    </comment>
    <comment authorId="0" ref="J270">
      <text>
        <t xml:space="preserve">Capital amortizado TEÓRICO = cuota base − interés, limitado al saldo.</t>
      </text>
    </comment>
    <comment authorId="0" ref="K270">
      <text>
        <t xml:space="preserve">Seguro y otros cargos fijos del mes.</t>
      </text>
    </comment>
    <comment authorId="0" ref="L270">
      <text>
        <t xml:space="preserve">Cuota base + cargos.</t>
      </text>
    </comment>
    <comment authorId="0" ref="M270">
      <text>
        <t xml:space="preserve">Capital final del calendario teórico. No equivale al saldo real si hay pagos parciales o atrasos.</t>
      </text>
    </comment>
    <comment authorId="0" ref="N270">
      <text>
        <t xml:space="preserve">Suma de pagos válidos del mismo ID y cuota con fecha igual o anterior al corte.</t>
      </text>
    </comment>
    <comment authorId="0" ref="O270">
      <text>
        <t xml:space="preserve">MIN(amortización pactada; MAX(0; pagado − cargos − interés)). No imputa excedentes a otras cuotas.</t>
      </text>
    </comment>
    <comment authorId="0" ref="P270">
      <text>
        <t xml:space="preserve">MAX(0; total pactado − pagado a esta cuota). Incluye capital, interés y cargos pendientes de ESA cuota.</t>
      </text>
    </comment>
    <comment authorId="0" ref="Q270">
      <text>
        <t xml:space="preserve">Días desde vencimiento hasta corte, solo si venció antes del corte y sigue con saldo.</t>
      </text>
    </comment>
    <comment authorId="0" ref="R270">
      <text>
        <t xml:space="preserve">MAX(0; pagado − cuota pactada). Exceso para revisar: no se traspasa a otra cuota.</t>
      </text>
    </comment>
    <comment authorId="0" ref="S270">
      <text>
        <t xml:space="preserve">Pagada, Vencida, Vence hoy, Por vencer o Exceso sin imputar según fecha y saldo al corte.</t>
      </text>
    </comment>
    <comment authorId="0" ref="T270">
      <text>
        <t xml:space="preserve">Auxiliar para encontrar la primera cuota pendiente. El 999999 indica que esta cuota no tiene saldo pendiente o está fuera del plazo, y no es una fecha real.</t>
      </text>
    </comment>
    <comment authorId="0" ref="C271">
      <text>
        <t xml:space="preserve">Crédito al que corresponde esta cuota.</t>
      </text>
    </comment>
    <comment authorId="0" ref="D271">
      <text>
        <t xml:space="preserve">Número de cuota dentro del crédito.</t>
      </text>
    </comment>
    <comment authorId="0" ref="E271">
      <text>
        <t xml:space="preserve">Fecha según EDATE a partir del primer vencimiento. No ajusta automáticamente feriados.</t>
      </text>
    </comment>
    <comment authorId="0" ref="F271">
      <text>
        <t xml:space="preserve">Capital al inicio del período en el calendario ORIGINAL, sin recalcular por pagos reales.</t>
      </text>
    </comment>
    <comment authorId="0" ref="G271">
      <text>
        <t xml:space="preserve">Tasa efectiva del mes según la base ingresada.</t>
      </text>
    </comment>
    <comment authorId="0" ref="H271">
      <text>
        <t xml:space="preserve">Interés del período = capital inicial × tasa mensual, redondeado a dos decimales.</t>
      </text>
    </comment>
    <comment authorId="0" ref="I271">
      <text>
        <t xml:space="preserve">Capital e interés pactados. La última cuota ajusta el saldo por redondeo.</t>
      </text>
    </comment>
    <comment authorId="0" ref="J271">
      <text>
        <t xml:space="preserve">Capital amortizado TEÓRICO = cuota base − interés, limitado al saldo.</t>
      </text>
    </comment>
    <comment authorId="0" ref="K271">
      <text>
        <t xml:space="preserve">Seguro y otros cargos fijos del mes.</t>
      </text>
    </comment>
    <comment authorId="0" ref="L271">
      <text>
        <t xml:space="preserve">Cuota base + cargos.</t>
      </text>
    </comment>
    <comment authorId="0" ref="M271">
      <text>
        <t xml:space="preserve">Capital final del calendario teórico. No equivale al saldo real si hay pagos parciales o atrasos.</t>
      </text>
    </comment>
    <comment authorId="0" ref="N271">
      <text>
        <t xml:space="preserve">Suma de pagos válidos del mismo ID y cuota con fecha igual o anterior al corte.</t>
      </text>
    </comment>
    <comment authorId="0" ref="O271">
      <text>
        <t xml:space="preserve">MIN(amortización pactada; MAX(0; pagado − cargos − interés)). No imputa excedentes a otras cuotas.</t>
      </text>
    </comment>
    <comment authorId="0" ref="P271">
      <text>
        <t xml:space="preserve">MAX(0; total pactado − pagado a esta cuota). Incluye capital, interés y cargos pendientes de ESA cuota.</t>
      </text>
    </comment>
    <comment authorId="0" ref="Q271">
      <text>
        <t xml:space="preserve">Días desde vencimiento hasta corte, solo si venció antes del corte y sigue con saldo.</t>
      </text>
    </comment>
    <comment authorId="0" ref="R271">
      <text>
        <t xml:space="preserve">MAX(0; pagado − cuota pactada). Exceso para revisar: no se traspasa a otra cuota.</t>
      </text>
    </comment>
    <comment authorId="0" ref="S271">
      <text>
        <t xml:space="preserve">Pagada, Vencida, Vence hoy, Por vencer o Exceso sin imputar según fecha y saldo al corte.</t>
      </text>
    </comment>
    <comment authorId="0" ref="T271">
      <text>
        <t xml:space="preserve">Auxiliar para encontrar la primera cuota pendiente. El 999999 indica que esta cuota no tiene saldo pendiente o está fuera del plazo, y no es una fecha real.</t>
      </text>
    </comment>
    <comment authorId="0" ref="C272">
      <text>
        <t xml:space="preserve">Crédito al que corresponde esta cuota.</t>
      </text>
    </comment>
    <comment authorId="0" ref="D272">
      <text>
        <t xml:space="preserve">Número de cuota dentro del crédito.</t>
      </text>
    </comment>
    <comment authorId="0" ref="E272">
      <text>
        <t xml:space="preserve">Fecha según EDATE a partir del primer vencimiento. No ajusta automáticamente feriados.</t>
      </text>
    </comment>
    <comment authorId="0" ref="F272">
      <text>
        <t xml:space="preserve">Capital al inicio del período en el calendario ORIGINAL, sin recalcular por pagos reales.</t>
      </text>
    </comment>
    <comment authorId="0" ref="G272">
      <text>
        <t xml:space="preserve">Tasa efectiva del mes según la base ingresada.</t>
      </text>
    </comment>
    <comment authorId="0" ref="H272">
      <text>
        <t xml:space="preserve">Interés del período = capital inicial × tasa mensual, redondeado a dos decimales.</t>
      </text>
    </comment>
    <comment authorId="0" ref="I272">
      <text>
        <t xml:space="preserve">Capital e interés pactados. La última cuota ajusta el saldo por redondeo.</t>
      </text>
    </comment>
    <comment authorId="0" ref="J272">
      <text>
        <t xml:space="preserve">Capital amortizado TEÓRICO = cuota base − interés, limitado al saldo.</t>
      </text>
    </comment>
    <comment authorId="0" ref="K272">
      <text>
        <t xml:space="preserve">Seguro y otros cargos fijos del mes.</t>
      </text>
    </comment>
    <comment authorId="0" ref="L272">
      <text>
        <t xml:space="preserve">Cuota base + cargos.</t>
      </text>
    </comment>
    <comment authorId="0" ref="M272">
      <text>
        <t xml:space="preserve">Capital final del calendario teórico. No equivale al saldo real si hay pagos parciales o atrasos.</t>
      </text>
    </comment>
    <comment authorId="0" ref="N272">
      <text>
        <t xml:space="preserve">Suma de pagos válidos del mismo ID y cuota con fecha igual o anterior al corte.</t>
      </text>
    </comment>
    <comment authorId="0" ref="O272">
      <text>
        <t xml:space="preserve">MIN(amortización pactada; MAX(0; pagado − cargos − interés)). No imputa excedentes a otras cuotas.</t>
      </text>
    </comment>
    <comment authorId="0" ref="P272">
      <text>
        <t xml:space="preserve">MAX(0; total pactado − pagado a esta cuota). Incluye capital, interés y cargos pendientes de ESA cuota.</t>
      </text>
    </comment>
    <comment authorId="0" ref="Q272">
      <text>
        <t xml:space="preserve">Días desde vencimiento hasta corte, solo si venció antes del corte y sigue con saldo.</t>
      </text>
    </comment>
    <comment authorId="0" ref="R272">
      <text>
        <t xml:space="preserve">MAX(0; pagado − cuota pactada). Exceso para revisar: no se traspasa a otra cuota.</t>
      </text>
    </comment>
    <comment authorId="0" ref="S272">
      <text>
        <t xml:space="preserve">Pagada, Vencida, Vence hoy, Por vencer o Exceso sin imputar según fecha y saldo al corte.</t>
      </text>
    </comment>
    <comment authorId="0" ref="T272">
      <text>
        <t xml:space="preserve">Auxiliar para encontrar la primera cuota pendiente. El 999999 indica que esta cuota no tiene saldo pendiente o está fuera del plazo, y no es una fecha real.</t>
      </text>
    </comment>
    <comment authorId="0" ref="C273">
      <text>
        <t xml:space="preserve">Crédito al que corresponde esta cuota.</t>
      </text>
    </comment>
    <comment authorId="0" ref="D273">
      <text>
        <t xml:space="preserve">Número de cuota dentro del crédito.</t>
      </text>
    </comment>
    <comment authorId="0" ref="E273">
      <text>
        <t xml:space="preserve">Fecha según EDATE a partir del primer vencimiento. No ajusta automáticamente feriados.</t>
      </text>
    </comment>
    <comment authorId="0" ref="F273">
      <text>
        <t xml:space="preserve">Capital al inicio del período en el calendario ORIGINAL, sin recalcular por pagos reales.</t>
      </text>
    </comment>
    <comment authorId="0" ref="G273">
      <text>
        <t xml:space="preserve">Tasa efectiva del mes según la base ingresada.</t>
      </text>
    </comment>
    <comment authorId="0" ref="H273">
      <text>
        <t xml:space="preserve">Interés del período = capital inicial × tasa mensual, redondeado a dos decimales.</t>
      </text>
    </comment>
    <comment authorId="0" ref="I273">
      <text>
        <t xml:space="preserve">Capital e interés pactados. La última cuota ajusta el saldo por redondeo.</t>
      </text>
    </comment>
    <comment authorId="0" ref="J273">
      <text>
        <t xml:space="preserve">Capital amortizado TEÓRICO = cuota base − interés, limitado al saldo.</t>
      </text>
    </comment>
    <comment authorId="0" ref="K273">
      <text>
        <t xml:space="preserve">Seguro y otros cargos fijos del mes.</t>
      </text>
    </comment>
    <comment authorId="0" ref="L273">
      <text>
        <t xml:space="preserve">Cuota base + cargos.</t>
      </text>
    </comment>
    <comment authorId="0" ref="M273">
      <text>
        <t xml:space="preserve">Capital final del calendario teórico. No equivale al saldo real si hay pagos parciales o atrasos.</t>
      </text>
    </comment>
    <comment authorId="0" ref="N273">
      <text>
        <t xml:space="preserve">Suma de pagos válidos del mismo ID y cuota con fecha igual o anterior al corte.</t>
      </text>
    </comment>
    <comment authorId="0" ref="O273">
      <text>
        <t xml:space="preserve">MIN(amortización pactada; MAX(0; pagado − cargos − interés)). No imputa excedentes a otras cuotas.</t>
      </text>
    </comment>
    <comment authorId="0" ref="P273">
      <text>
        <t xml:space="preserve">MAX(0; total pactado − pagado a esta cuota). Incluye capital, interés y cargos pendientes de ESA cuota.</t>
      </text>
    </comment>
    <comment authorId="0" ref="Q273">
      <text>
        <t xml:space="preserve">Días desde vencimiento hasta corte, solo si venció antes del corte y sigue con saldo.</t>
      </text>
    </comment>
    <comment authorId="0" ref="R273">
      <text>
        <t xml:space="preserve">MAX(0; pagado − cuota pactada). Exceso para revisar: no se traspasa a otra cuota.</t>
      </text>
    </comment>
    <comment authorId="0" ref="S273">
      <text>
        <t xml:space="preserve">Pagada, Vencida, Vence hoy, Por vencer o Exceso sin imputar según fecha y saldo al corte.</t>
      </text>
    </comment>
    <comment authorId="0" ref="T273">
      <text>
        <t xml:space="preserve">Auxiliar para encontrar la primera cuota pendiente. El 999999 indica que esta cuota no tiene saldo pendiente o está fuera del plazo, y no es una fecha real.</t>
      </text>
    </comment>
    <comment authorId="0" ref="C274">
      <text>
        <t xml:space="preserve">Crédito al que corresponde esta cuota.</t>
      </text>
    </comment>
    <comment authorId="0" ref="D274">
      <text>
        <t xml:space="preserve">Número de cuota dentro del crédito.</t>
      </text>
    </comment>
    <comment authorId="0" ref="E274">
      <text>
        <t xml:space="preserve">Fecha según EDATE a partir del primer vencimiento. No ajusta automáticamente feriados.</t>
      </text>
    </comment>
    <comment authorId="0" ref="F274">
      <text>
        <t xml:space="preserve">Capital al inicio del período en el calendario ORIGINAL, sin recalcular por pagos reales.</t>
      </text>
    </comment>
    <comment authorId="0" ref="G274">
      <text>
        <t xml:space="preserve">Tasa efectiva del mes según la base ingresada.</t>
      </text>
    </comment>
    <comment authorId="0" ref="H274">
      <text>
        <t xml:space="preserve">Interés del período = capital inicial × tasa mensual, redondeado a dos decimales.</t>
      </text>
    </comment>
    <comment authorId="0" ref="I274">
      <text>
        <t xml:space="preserve">Capital e interés pactados. La última cuota ajusta el saldo por redondeo.</t>
      </text>
    </comment>
    <comment authorId="0" ref="J274">
      <text>
        <t xml:space="preserve">Capital amortizado TEÓRICO = cuota base − interés, limitado al saldo.</t>
      </text>
    </comment>
    <comment authorId="0" ref="K274">
      <text>
        <t xml:space="preserve">Seguro y otros cargos fijos del mes.</t>
      </text>
    </comment>
    <comment authorId="0" ref="L274">
      <text>
        <t xml:space="preserve">Cuota base + cargos.</t>
      </text>
    </comment>
    <comment authorId="0" ref="M274">
      <text>
        <t xml:space="preserve">Capital final del calendario teórico. No equivale al saldo real si hay pagos parciales o atrasos.</t>
      </text>
    </comment>
    <comment authorId="0" ref="N274">
      <text>
        <t xml:space="preserve">Suma de pagos válidos del mismo ID y cuota con fecha igual o anterior al corte.</t>
      </text>
    </comment>
    <comment authorId="0" ref="O274">
      <text>
        <t xml:space="preserve">MIN(amortización pactada; MAX(0; pagado − cargos − interés)). No imputa excedentes a otras cuotas.</t>
      </text>
    </comment>
    <comment authorId="0" ref="P274">
      <text>
        <t xml:space="preserve">MAX(0; total pactado − pagado a esta cuota). Incluye capital, interés y cargos pendientes de ESA cuota.</t>
      </text>
    </comment>
    <comment authorId="0" ref="Q274">
      <text>
        <t xml:space="preserve">Días desde vencimiento hasta corte, solo si venció antes del corte y sigue con saldo.</t>
      </text>
    </comment>
    <comment authorId="0" ref="R274">
      <text>
        <t xml:space="preserve">MAX(0; pagado − cuota pactada). Exceso para revisar: no se traspasa a otra cuota.</t>
      </text>
    </comment>
    <comment authorId="0" ref="S274">
      <text>
        <t xml:space="preserve">Pagada, Vencida, Vence hoy, Por vencer o Exceso sin imputar según fecha y saldo al corte.</t>
      </text>
    </comment>
    <comment authorId="0" ref="T274">
      <text>
        <t xml:space="preserve">Auxiliar para encontrar la primera cuota pendiente. El 999999 indica que esta cuota no tiene saldo pendiente o está fuera del plazo, y no es una fecha real.</t>
      </text>
    </comment>
    <comment authorId="0" ref="C275">
      <text>
        <t xml:space="preserve">Crédito al que corresponde esta cuota.</t>
      </text>
    </comment>
    <comment authorId="0" ref="D275">
      <text>
        <t xml:space="preserve">Número de cuota dentro del crédito.</t>
      </text>
    </comment>
    <comment authorId="0" ref="E275">
      <text>
        <t xml:space="preserve">Fecha según EDATE a partir del primer vencimiento. No ajusta automáticamente feriados.</t>
      </text>
    </comment>
    <comment authorId="0" ref="F275">
      <text>
        <t xml:space="preserve">Capital al inicio del período en el calendario ORIGINAL, sin recalcular por pagos reales.</t>
      </text>
    </comment>
    <comment authorId="0" ref="G275">
      <text>
        <t xml:space="preserve">Tasa efectiva del mes según la base ingresada.</t>
      </text>
    </comment>
    <comment authorId="0" ref="H275">
      <text>
        <t xml:space="preserve">Interés del período = capital inicial × tasa mensual, redondeado a dos decimales.</t>
      </text>
    </comment>
    <comment authorId="0" ref="I275">
      <text>
        <t xml:space="preserve">Capital e interés pactados. La última cuota ajusta el saldo por redondeo.</t>
      </text>
    </comment>
    <comment authorId="0" ref="J275">
      <text>
        <t xml:space="preserve">Capital amortizado TEÓRICO = cuota base − interés, limitado al saldo.</t>
      </text>
    </comment>
    <comment authorId="0" ref="K275">
      <text>
        <t xml:space="preserve">Seguro y otros cargos fijos del mes.</t>
      </text>
    </comment>
    <comment authorId="0" ref="L275">
      <text>
        <t xml:space="preserve">Cuota base + cargos.</t>
      </text>
    </comment>
    <comment authorId="0" ref="M275">
      <text>
        <t xml:space="preserve">Capital final del calendario teórico. No equivale al saldo real si hay pagos parciales o atrasos.</t>
      </text>
    </comment>
    <comment authorId="0" ref="N275">
      <text>
        <t xml:space="preserve">Suma de pagos válidos del mismo ID y cuota con fecha igual o anterior al corte.</t>
      </text>
    </comment>
    <comment authorId="0" ref="O275">
      <text>
        <t xml:space="preserve">MIN(amortización pactada; MAX(0; pagado − cargos − interés)). No imputa excedentes a otras cuotas.</t>
      </text>
    </comment>
    <comment authorId="0" ref="P275">
      <text>
        <t xml:space="preserve">MAX(0; total pactado − pagado a esta cuota). Incluye capital, interés y cargos pendientes de ESA cuota.</t>
      </text>
    </comment>
    <comment authorId="0" ref="Q275">
      <text>
        <t xml:space="preserve">Días desde vencimiento hasta corte, solo si venció antes del corte y sigue con saldo.</t>
      </text>
    </comment>
    <comment authorId="0" ref="R275">
      <text>
        <t xml:space="preserve">MAX(0; pagado − cuota pactada). Exceso para revisar: no se traspasa a otra cuota.</t>
      </text>
    </comment>
    <comment authorId="0" ref="S275">
      <text>
        <t xml:space="preserve">Pagada, Vencida, Vence hoy, Por vencer o Exceso sin imputar según fecha y saldo al corte.</t>
      </text>
    </comment>
    <comment authorId="0" ref="T275">
      <text>
        <t xml:space="preserve">Auxiliar para encontrar la primera cuota pendiente. El 999999 indica que esta cuota no tiene saldo pendiente o está fuera del plazo, y no es una fecha real.</t>
      </text>
    </comment>
    <comment authorId="0" ref="C276">
      <text>
        <t xml:space="preserve">Crédito al que corresponde esta cuota.</t>
      </text>
    </comment>
    <comment authorId="0" ref="D276">
      <text>
        <t xml:space="preserve">Número de cuota dentro del crédito.</t>
      </text>
    </comment>
    <comment authorId="0" ref="E276">
      <text>
        <t xml:space="preserve">Fecha según EDATE a partir del primer vencimiento. No ajusta automáticamente feriados.</t>
      </text>
    </comment>
    <comment authorId="0" ref="F276">
      <text>
        <t xml:space="preserve">Capital al inicio del período en el calendario ORIGINAL, sin recalcular por pagos reales.</t>
      </text>
    </comment>
    <comment authorId="0" ref="G276">
      <text>
        <t xml:space="preserve">Tasa efectiva del mes según la base ingresada.</t>
      </text>
    </comment>
    <comment authorId="0" ref="H276">
      <text>
        <t xml:space="preserve">Interés del período = capital inicial × tasa mensual, redondeado a dos decimales.</t>
      </text>
    </comment>
    <comment authorId="0" ref="I276">
      <text>
        <t xml:space="preserve">Capital e interés pactados. La última cuota ajusta el saldo por redondeo.</t>
      </text>
    </comment>
    <comment authorId="0" ref="J276">
      <text>
        <t xml:space="preserve">Capital amortizado TEÓRICO = cuota base − interés, limitado al saldo.</t>
      </text>
    </comment>
    <comment authorId="0" ref="K276">
      <text>
        <t xml:space="preserve">Seguro y otros cargos fijos del mes.</t>
      </text>
    </comment>
    <comment authorId="0" ref="L276">
      <text>
        <t xml:space="preserve">Cuota base + cargos.</t>
      </text>
    </comment>
    <comment authorId="0" ref="M276">
      <text>
        <t xml:space="preserve">Capital final del calendario teórico. No equivale al saldo real si hay pagos parciales o atrasos.</t>
      </text>
    </comment>
    <comment authorId="0" ref="N276">
      <text>
        <t xml:space="preserve">Suma de pagos válidos del mismo ID y cuota con fecha igual o anterior al corte.</t>
      </text>
    </comment>
    <comment authorId="0" ref="O276">
      <text>
        <t xml:space="preserve">MIN(amortización pactada; MAX(0; pagado − cargos − interés)). No imputa excedentes a otras cuotas.</t>
      </text>
    </comment>
    <comment authorId="0" ref="P276">
      <text>
        <t xml:space="preserve">MAX(0; total pactado − pagado a esta cuota). Incluye capital, interés y cargos pendientes de ESA cuota.</t>
      </text>
    </comment>
    <comment authorId="0" ref="Q276">
      <text>
        <t xml:space="preserve">Días desde vencimiento hasta corte, solo si venció antes del corte y sigue con saldo.</t>
      </text>
    </comment>
    <comment authorId="0" ref="R276">
      <text>
        <t xml:space="preserve">MAX(0; pagado − cuota pactada). Exceso para revisar: no se traspasa a otra cuota.</t>
      </text>
    </comment>
    <comment authorId="0" ref="S276">
      <text>
        <t xml:space="preserve">Pagada, Vencida, Vence hoy, Por vencer o Exceso sin imputar según fecha y saldo al corte.</t>
      </text>
    </comment>
    <comment authorId="0" ref="T276">
      <text>
        <t xml:space="preserve">Auxiliar para encontrar la primera cuota pendiente. El 999999 indica que esta cuota no tiene saldo pendiente o está fuera del plazo, y no es una fecha real.</t>
      </text>
    </comment>
    <comment authorId="0" ref="C277">
      <text>
        <t xml:space="preserve">Crédito al que corresponde esta cuota.</t>
      </text>
    </comment>
    <comment authorId="0" ref="D277">
      <text>
        <t xml:space="preserve">Número de cuota dentro del crédito.</t>
      </text>
    </comment>
    <comment authorId="0" ref="E277">
      <text>
        <t xml:space="preserve">Fecha según EDATE a partir del primer vencimiento. No ajusta automáticamente feriados.</t>
      </text>
    </comment>
    <comment authorId="0" ref="F277">
      <text>
        <t xml:space="preserve">Capital al inicio del período en el calendario ORIGINAL, sin recalcular por pagos reales.</t>
      </text>
    </comment>
    <comment authorId="0" ref="G277">
      <text>
        <t xml:space="preserve">Tasa efectiva del mes según la base ingresada.</t>
      </text>
    </comment>
    <comment authorId="0" ref="H277">
      <text>
        <t xml:space="preserve">Interés del período = capital inicial × tasa mensual, redondeado a dos decimales.</t>
      </text>
    </comment>
    <comment authorId="0" ref="I277">
      <text>
        <t xml:space="preserve">Capital e interés pactados. La última cuota ajusta el saldo por redondeo.</t>
      </text>
    </comment>
    <comment authorId="0" ref="J277">
      <text>
        <t xml:space="preserve">Capital amortizado TEÓRICO = cuota base − interés, limitado al saldo.</t>
      </text>
    </comment>
    <comment authorId="0" ref="K277">
      <text>
        <t xml:space="preserve">Seguro y otros cargos fijos del mes.</t>
      </text>
    </comment>
    <comment authorId="0" ref="L277">
      <text>
        <t xml:space="preserve">Cuota base + cargos.</t>
      </text>
    </comment>
    <comment authorId="0" ref="M277">
      <text>
        <t xml:space="preserve">Capital final del calendario teórico. No equivale al saldo real si hay pagos parciales o atrasos.</t>
      </text>
    </comment>
    <comment authorId="0" ref="N277">
      <text>
        <t xml:space="preserve">Suma de pagos válidos del mismo ID y cuota con fecha igual o anterior al corte.</t>
      </text>
    </comment>
    <comment authorId="0" ref="O277">
      <text>
        <t xml:space="preserve">MIN(amortización pactada; MAX(0; pagado − cargos − interés)). No imputa excedentes a otras cuotas.</t>
      </text>
    </comment>
    <comment authorId="0" ref="P277">
      <text>
        <t xml:space="preserve">MAX(0; total pactado − pagado a esta cuota). Incluye capital, interés y cargos pendientes de ESA cuota.</t>
      </text>
    </comment>
    <comment authorId="0" ref="Q277">
      <text>
        <t xml:space="preserve">Días desde vencimiento hasta corte, solo si venció antes del corte y sigue con saldo.</t>
      </text>
    </comment>
    <comment authorId="0" ref="R277">
      <text>
        <t xml:space="preserve">MAX(0; pagado − cuota pactada). Exceso para revisar: no se traspasa a otra cuota.</t>
      </text>
    </comment>
    <comment authorId="0" ref="S277">
      <text>
        <t xml:space="preserve">Pagada, Vencida, Vence hoy, Por vencer o Exceso sin imputar según fecha y saldo al corte.</t>
      </text>
    </comment>
    <comment authorId="0" ref="T277">
      <text>
        <t xml:space="preserve">Auxiliar para encontrar la primera cuota pendiente. El 999999 indica que esta cuota no tiene saldo pendiente o está fuera del plazo, y no es una fecha real.</t>
      </text>
    </comment>
    <comment authorId="0" ref="C278">
      <text>
        <t xml:space="preserve">Crédito al que corresponde esta cuota.</t>
      </text>
    </comment>
    <comment authorId="0" ref="D278">
      <text>
        <t xml:space="preserve">Número de cuota dentro del crédito.</t>
      </text>
    </comment>
    <comment authorId="0" ref="E278">
      <text>
        <t xml:space="preserve">Fecha según EDATE a partir del primer vencimiento. No ajusta automáticamente feriados.</t>
      </text>
    </comment>
    <comment authorId="0" ref="F278">
      <text>
        <t xml:space="preserve">Capital al inicio del período en el calendario ORIGINAL, sin recalcular por pagos reales.</t>
      </text>
    </comment>
    <comment authorId="0" ref="G278">
      <text>
        <t xml:space="preserve">Tasa efectiva del mes según la base ingresada.</t>
      </text>
    </comment>
    <comment authorId="0" ref="H278">
      <text>
        <t xml:space="preserve">Interés del período = capital inicial × tasa mensual, redondeado a dos decimales.</t>
      </text>
    </comment>
    <comment authorId="0" ref="I278">
      <text>
        <t xml:space="preserve">Capital e interés pactados. La última cuota ajusta el saldo por redondeo.</t>
      </text>
    </comment>
    <comment authorId="0" ref="J278">
      <text>
        <t xml:space="preserve">Capital amortizado TEÓRICO = cuota base − interés, limitado al saldo.</t>
      </text>
    </comment>
    <comment authorId="0" ref="K278">
      <text>
        <t xml:space="preserve">Seguro y otros cargos fijos del mes.</t>
      </text>
    </comment>
    <comment authorId="0" ref="L278">
      <text>
        <t xml:space="preserve">Cuota base + cargos.</t>
      </text>
    </comment>
    <comment authorId="0" ref="M278">
      <text>
        <t xml:space="preserve">Capital final del calendario teórico. No equivale al saldo real si hay pagos parciales o atrasos.</t>
      </text>
    </comment>
    <comment authorId="0" ref="N278">
      <text>
        <t xml:space="preserve">Suma de pagos válidos del mismo ID y cuota con fecha igual o anterior al corte.</t>
      </text>
    </comment>
    <comment authorId="0" ref="O278">
      <text>
        <t xml:space="preserve">MIN(amortización pactada; MAX(0; pagado − cargos − interés)). No imputa excedentes a otras cuotas.</t>
      </text>
    </comment>
    <comment authorId="0" ref="P278">
      <text>
        <t xml:space="preserve">MAX(0; total pactado − pagado a esta cuota). Incluye capital, interés y cargos pendientes de ESA cuota.</t>
      </text>
    </comment>
    <comment authorId="0" ref="Q278">
      <text>
        <t xml:space="preserve">Días desde vencimiento hasta corte, solo si venció antes del corte y sigue con saldo.</t>
      </text>
    </comment>
    <comment authorId="0" ref="R278">
      <text>
        <t xml:space="preserve">MAX(0; pagado − cuota pactada). Exceso para revisar: no se traspasa a otra cuota.</t>
      </text>
    </comment>
    <comment authorId="0" ref="S278">
      <text>
        <t xml:space="preserve">Pagada, Vencida, Vence hoy, Por vencer o Exceso sin imputar según fecha y saldo al corte.</t>
      </text>
    </comment>
    <comment authorId="0" ref="T278">
      <text>
        <t xml:space="preserve">Auxiliar para encontrar la primera cuota pendiente. El 999999 indica que esta cuota no tiene saldo pendiente o está fuera del plazo, y no es una fecha real.</t>
      </text>
    </comment>
    <comment authorId="0" ref="C279">
      <text>
        <t xml:space="preserve">Crédito al que corresponde esta cuota.</t>
      </text>
    </comment>
    <comment authorId="0" ref="D279">
      <text>
        <t xml:space="preserve">Número de cuota dentro del crédito.</t>
      </text>
    </comment>
    <comment authorId="0" ref="E279">
      <text>
        <t xml:space="preserve">Fecha según EDATE a partir del primer vencimiento. No ajusta automáticamente feriados.</t>
      </text>
    </comment>
    <comment authorId="0" ref="F279">
      <text>
        <t xml:space="preserve">Capital al inicio del período en el calendario ORIGINAL, sin recalcular por pagos reales.</t>
      </text>
    </comment>
    <comment authorId="0" ref="G279">
      <text>
        <t xml:space="preserve">Tasa efectiva del mes según la base ingresada.</t>
      </text>
    </comment>
    <comment authorId="0" ref="H279">
      <text>
        <t xml:space="preserve">Interés del período = capital inicial × tasa mensual, redondeado a dos decimales.</t>
      </text>
    </comment>
    <comment authorId="0" ref="I279">
      <text>
        <t xml:space="preserve">Capital e interés pactados. La última cuota ajusta el saldo por redondeo.</t>
      </text>
    </comment>
    <comment authorId="0" ref="J279">
      <text>
        <t xml:space="preserve">Capital amortizado TEÓRICO = cuota base − interés, limitado al saldo.</t>
      </text>
    </comment>
    <comment authorId="0" ref="K279">
      <text>
        <t xml:space="preserve">Seguro y otros cargos fijos del mes.</t>
      </text>
    </comment>
    <comment authorId="0" ref="L279">
      <text>
        <t xml:space="preserve">Cuota base + cargos.</t>
      </text>
    </comment>
    <comment authorId="0" ref="M279">
      <text>
        <t xml:space="preserve">Capital final del calendario teórico. No equivale al saldo real si hay pagos parciales o atrasos.</t>
      </text>
    </comment>
    <comment authorId="0" ref="N279">
      <text>
        <t xml:space="preserve">Suma de pagos válidos del mismo ID y cuota con fecha igual o anterior al corte.</t>
      </text>
    </comment>
    <comment authorId="0" ref="O279">
      <text>
        <t xml:space="preserve">MIN(amortización pactada; MAX(0; pagado − cargos − interés)). No imputa excedentes a otras cuotas.</t>
      </text>
    </comment>
    <comment authorId="0" ref="P279">
      <text>
        <t xml:space="preserve">MAX(0; total pactado − pagado a esta cuota). Incluye capital, interés y cargos pendientes de ESA cuota.</t>
      </text>
    </comment>
    <comment authorId="0" ref="Q279">
      <text>
        <t xml:space="preserve">Días desde vencimiento hasta corte, solo si venció antes del corte y sigue con saldo.</t>
      </text>
    </comment>
    <comment authorId="0" ref="R279">
      <text>
        <t xml:space="preserve">MAX(0; pagado − cuota pactada). Exceso para revisar: no se traspasa a otra cuota.</t>
      </text>
    </comment>
    <comment authorId="0" ref="S279">
      <text>
        <t xml:space="preserve">Pagada, Vencida, Vence hoy, Por vencer o Exceso sin imputar según fecha y saldo al corte.</t>
      </text>
    </comment>
    <comment authorId="0" ref="T279">
      <text>
        <t xml:space="preserve">Auxiliar para encontrar la primera cuota pendiente. El 999999 indica que esta cuota no tiene saldo pendiente o está fuera del plazo, y no es una fecha real.</t>
      </text>
    </comment>
    <comment authorId="0" ref="C280">
      <text>
        <t xml:space="preserve">Crédito al que corresponde esta cuota.</t>
      </text>
    </comment>
    <comment authorId="0" ref="D280">
      <text>
        <t xml:space="preserve">Número de cuota dentro del crédito.</t>
      </text>
    </comment>
    <comment authorId="0" ref="E280">
      <text>
        <t xml:space="preserve">Fecha según EDATE a partir del primer vencimiento. No ajusta automáticamente feriados.</t>
      </text>
    </comment>
    <comment authorId="0" ref="F280">
      <text>
        <t xml:space="preserve">Capital al inicio del período en el calendario ORIGINAL, sin recalcular por pagos reales.</t>
      </text>
    </comment>
    <comment authorId="0" ref="G280">
      <text>
        <t xml:space="preserve">Tasa efectiva del mes según la base ingresada.</t>
      </text>
    </comment>
    <comment authorId="0" ref="H280">
      <text>
        <t xml:space="preserve">Interés del período = capital inicial × tasa mensual, redondeado a dos decimales.</t>
      </text>
    </comment>
    <comment authorId="0" ref="I280">
      <text>
        <t xml:space="preserve">Capital e interés pactados. La última cuota ajusta el saldo por redondeo.</t>
      </text>
    </comment>
    <comment authorId="0" ref="J280">
      <text>
        <t xml:space="preserve">Capital amortizado TEÓRICO = cuota base − interés, limitado al saldo.</t>
      </text>
    </comment>
    <comment authorId="0" ref="K280">
      <text>
        <t xml:space="preserve">Seguro y otros cargos fijos del mes.</t>
      </text>
    </comment>
    <comment authorId="0" ref="L280">
      <text>
        <t xml:space="preserve">Cuota base + cargos.</t>
      </text>
    </comment>
    <comment authorId="0" ref="M280">
      <text>
        <t xml:space="preserve">Capital final del calendario teórico. No equivale al saldo real si hay pagos parciales o atrasos.</t>
      </text>
    </comment>
    <comment authorId="0" ref="N280">
      <text>
        <t xml:space="preserve">Suma de pagos válidos del mismo ID y cuota con fecha igual o anterior al corte.</t>
      </text>
    </comment>
    <comment authorId="0" ref="O280">
      <text>
        <t xml:space="preserve">MIN(amortización pactada; MAX(0; pagado − cargos − interés)). No imputa excedentes a otras cuotas.</t>
      </text>
    </comment>
    <comment authorId="0" ref="P280">
      <text>
        <t xml:space="preserve">MAX(0; total pactado − pagado a esta cuota). Incluye capital, interés y cargos pendientes de ESA cuota.</t>
      </text>
    </comment>
    <comment authorId="0" ref="Q280">
      <text>
        <t xml:space="preserve">Días desde vencimiento hasta corte, solo si venció antes del corte y sigue con saldo.</t>
      </text>
    </comment>
    <comment authorId="0" ref="R280">
      <text>
        <t xml:space="preserve">MAX(0; pagado − cuota pactada). Exceso para revisar: no se traspasa a otra cuota.</t>
      </text>
    </comment>
    <comment authorId="0" ref="S280">
      <text>
        <t xml:space="preserve">Pagada, Vencida, Vence hoy, Por vencer o Exceso sin imputar según fecha y saldo al corte.</t>
      </text>
    </comment>
    <comment authorId="0" ref="T280">
      <text>
        <t xml:space="preserve">Auxiliar para encontrar la primera cuota pendiente. El 999999 indica que esta cuota no tiene saldo pendiente o está fuera del plazo, y no es una fecha real.</t>
      </text>
    </comment>
    <comment authorId="0" ref="C281">
      <text>
        <t xml:space="preserve">Crédito al que corresponde esta cuota.</t>
      </text>
    </comment>
    <comment authorId="0" ref="D281">
      <text>
        <t xml:space="preserve">Número de cuota dentro del crédito.</t>
      </text>
    </comment>
    <comment authorId="0" ref="E281">
      <text>
        <t xml:space="preserve">Fecha según EDATE a partir del primer vencimiento. No ajusta automáticamente feriados.</t>
      </text>
    </comment>
    <comment authorId="0" ref="F281">
      <text>
        <t xml:space="preserve">Capital al inicio del período en el calendario ORIGINAL, sin recalcular por pagos reales.</t>
      </text>
    </comment>
    <comment authorId="0" ref="G281">
      <text>
        <t xml:space="preserve">Tasa efectiva del mes según la base ingresada.</t>
      </text>
    </comment>
    <comment authorId="0" ref="H281">
      <text>
        <t xml:space="preserve">Interés del período = capital inicial × tasa mensual, redondeado a dos decimales.</t>
      </text>
    </comment>
    <comment authorId="0" ref="I281">
      <text>
        <t xml:space="preserve">Capital e interés pactados. La última cuota ajusta el saldo por redondeo.</t>
      </text>
    </comment>
    <comment authorId="0" ref="J281">
      <text>
        <t xml:space="preserve">Capital amortizado TEÓRICO = cuota base − interés, limitado al saldo.</t>
      </text>
    </comment>
    <comment authorId="0" ref="K281">
      <text>
        <t xml:space="preserve">Seguro y otros cargos fijos del mes.</t>
      </text>
    </comment>
    <comment authorId="0" ref="L281">
      <text>
        <t xml:space="preserve">Cuota base + cargos.</t>
      </text>
    </comment>
    <comment authorId="0" ref="M281">
      <text>
        <t xml:space="preserve">Capital final del calendario teórico. No equivale al saldo real si hay pagos parciales o atrasos.</t>
      </text>
    </comment>
    <comment authorId="0" ref="N281">
      <text>
        <t xml:space="preserve">Suma de pagos válidos del mismo ID y cuota con fecha igual o anterior al corte.</t>
      </text>
    </comment>
    <comment authorId="0" ref="O281">
      <text>
        <t xml:space="preserve">MIN(amortización pactada; MAX(0; pagado − cargos − interés)). No imputa excedentes a otras cuotas.</t>
      </text>
    </comment>
    <comment authorId="0" ref="P281">
      <text>
        <t xml:space="preserve">MAX(0; total pactado − pagado a esta cuota). Incluye capital, interés y cargos pendientes de ESA cuota.</t>
      </text>
    </comment>
    <comment authorId="0" ref="Q281">
      <text>
        <t xml:space="preserve">Días desde vencimiento hasta corte, solo si venció antes del corte y sigue con saldo.</t>
      </text>
    </comment>
    <comment authorId="0" ref="R281">
      <text>
        <t xml:space="preserve">MAX(0; pagado − cuota pactada). Exceso para revisar: no se traspasa a otra cuota.</t>
      </text>
    </comment>
    <comment authorId="0" ref="S281">
      <text>
        <t xml:space="preserve">Pagada, Vencida, Vence hoy, Por vencer o Exceso sin imputar según fecha y saldo al corte.</t>
      </text>
    </comment>
    <comment authorId="0" ref="T281">
      <text>
        <t xml:space="preserve">Auxiliar para encontrar la primera cuota pendiente. El 999999 indica que esta cuota no tiene saldo pendiente o está fuera del plazo, y no es una fecha real.</t>
      </text>
    </comment>
    <comment authorId="0" ref="C282">
      <text>
        <t xml:space="preserve">Crédito al que corresponde esta cuota.</t>
      </text>
    </comment>
    <comment authorId="0" ref="D282">
      <text>
        <t xml:space="preserve">Número de cuota dentro del crédito.</t>
      </text>
    </comment>
    <comment authorId="0" ref="E282">
      <text>
        <t xml:space="preserve">Fecha según EDATE a partir del primer vencimiento. No ajusta automáticamente feriados.</t>
      </text>
    </comment>
    <comment authorId="0" ref="F282">
      <text>
        <t xml:space="preserve">Capital al inicio del período en el calendario ORIGINAL, sin recalcular por pagos reales.</t>
      </text>
    </comment>
    <comment authorId="0" ref="G282">
      <text>
        <t xml:space="preserve">Tasa efectiva del mes según la base ingresada.</t>
      </text>
    </comment>
    <comment authorId="0" ref="H282">
      <text>
        <t xml:space="preserve">Interés del período = capital inicial × tasa mensual, redondeado a dos decimales.</t>
      </text>
    </comment>
    <comment authorId="0" ref="I282">
      <text>
        <t xml:space="preserve">Capital e interés pactados. La última cuota ajusta el saldo por redondeo.</t>
      </text>
    </comment>
    <comment authorId="0" ref="J282">
      <text>
        <t xml:space="preserve">Capital amortizado TEÓRICO = cuota base − interés, limitado al saldo.</t>
      </text>
    </comment>
    <comment authorId="0" ref="K282">
      <text>
        <t xml:space="preserve">Seguro y otros cargos fijos del mes.</t>
      </text>
    </comment>
    <comment authorId="0" ref="L282">
      <text>
        <t xml:space="preserve">Cuota base + cargos.</t>
      </text>
    </comment>
    <comment authorId="0" ref="M282">
      <text>
        <t xml:space="preserve">Capital final del calendario teórico. No equivale al saldo real si hay pagos parciales o atrasos.</t>
      </text>
    </comment>
    <comment authorId="0" ref="N282">
      <text>
        <t xml:space="preserve">Suma de pagos válidos del mismo ID y cuota con fecha igual o anterior al corte.</t>
      </text>
    </comment>
    <comment authorId="0" ref="O282">
      <text>
        <t xml:space="preserve">MIN(amortización pactada; MAX(0; pagado − cargos − interés)). No imputa excedentes a otras cuotas.</t>
      </text>
    </comment>
    <comment authorId="0" ref="P282">
      <text>
        <t xml:space="preserve">MAX(0; total pactado − pagado a esta cuota). Incluye capital, interés y cargos pendientes de ESA cuota.</t>
      </text>
    </comment>
    <comment authorId="0" ref="Q282">
      <text>
        <t xml:space="preserve">Días desde vencimiento hasta corte, solo si venció antes del corte y sigue con saldo.</t>
      </text>
    </comment>
    <comment authorId="0" ref="R282">
      <text>
        <t xml:space="preserve">MAX(0; pagado − cuota pactada). Exceso para revisar: no se traspasa a otra cuota.</t>
      </text>
    </comment>
    <comment authorId="0" ref="S282">
      <text>
        <t xml:space="preserve">Pagada, Vencida, Vence hoy, Por vencer o Exceso sin imputar según fecha y saldo al corte.</t>
      </text>
    </comment>
    <comment authorId="0" ref="T282">
      <text>
        <t xml:space="preserve">Auxiliar para encontrar la primera cuota pendiente. El 999999 indica que esta cuota no tiene saldo pendiente o está fuera del plazo, y no es una fecha real.</t>
      </text>
    </comment>
    <comment authorId="0" ref="C283">
      <text>
        <t xml:space="preserve">Crédito al que corresponde esta cuota.</t>
      </text>
    </comment>
    <comment authorId="0" ref="D283">
      <text>
        <t xml:space="preserve">Número de cuota dentro del crédito.</t>
      </text>
    </comment>
    <comment authorId="0" ref="E283">
      <text>
        <t xml:space="preserve">Fecha según EDATE a partir del primer vencimiento. No ajusta automáticamente feriados.</t>
      </text>
    </comment>
    <comment authorId="0" ref="F283">
      <text>
        <t xml:space="preserve">Capital al inicio del período en el calendario ORIGINAL, sin recalcular por pagos reales.</t>
      </text>
    </comment>
    <comment authorId="0" ref="G283">
      <text>
        <t xml:space="preserve">Tasa efectiva del mes según la base ingresada.</t>
      </text>
    </comment>
    <comment authorId="0" ref="H283">
      <text>
        <t xml:space="preserve">Interés del período = capital inicial × tasa mensual, redondeado a dos decimales.</t>
      </text>
    </comment>
    <comment authorId="0" ref="I283">
      <text>
        <t xml:space="preserve">Capital e interés pactados. La última cuota ajusta el saldo por redondeo.</t>
      </text>
    </comment>
    <comment authorId="0" ref="J283">
      <text>
        <t xml:space="preserve">Capital amortizado TEÓRICO = cuota base − interés, limitado al saldo.</t>
      </text>
    </comment>
    <comment authorId="0" ref="K283">
      <text>
        <t xml:space="preserve">Seguro y otros cargos fijos del mes.</t>
      </text>
    </comment>
    <comment authorId="0" ref="L283">
      <text>
        <t xml:space="preserve">Cuota base + cargos.</t>
      </text>
    </comment>
    <comment authorId="0" ref="M283">
      <text>
        <t xml:space="preserve">Capital final del calendario teórico. No equivale al saldo real si hay pagos parciales o atrasos.</t>
      </text>
    </comment>
    <comment authorId="0" ref="N283">
      <text>
        <t xml:space="preserve">Suma de pagos válidos del mismo ID y cuota con fecha igual o anterior al corte.</t>
      </text>
    </comment>
    <comment authorId="0" ref="O283">
      <text>
        <t xml:space="preserve">MIN(amortización pactada; MAX(0; pagado − cargos − interés)). No imputa excedentes a otras cuotas.</t>
      </text>
    </comment>
    <comment authorId="0" ref="P283">
      <text>
        <t xml:space="preserve">MAX(0; total pactado − pagado a esta cuota). Incluye capital, interés y cargos pendientes de ESA cuota.</t>
      </text>
    </comment>
    <comment authorId="0" ref="Q283">
      <text>
        <t xml:space="preserve">Días desde vencimiento hasta corte, solo si venció antes del corte y sigue con saldo.</t>
      </text>
    </comment>
    <comment authorId="0" ref="R283">
      <text>
        <t xml:space="preserve">MAX(0; pagado − cuota pactada). Exceso para revisar: no se traspasa a otra cuota.</t>
      </text>
    </comment>
    <comment authorId="0" ref="S283">
      <text>
        <t xml:space="preserve">Pagada, Vencida, Vence hoy, Por vencer o Exceso sin imputar según fecha y saldo al corte.</t>
      </text>
    </comment>
    <comment authorId="0" ref="T283">
      <text>
        <t xml:space="preserve">Auxiliar para encontrar la primera cuota pendiente. El 999999 indica que esta cuota no tiene saldo pendiente o está fuera del plazo, y no es una fecha real.</t>
      </text>
    </comment>
    <comment authorId="0" ref="C284">
      <text>
        <t xml:space="preserve">Crédito al que corresponde esta cuota.</t>
      </text>
    </comment>
    <comment authorId="0" ref="D284">
      <text>
        <t xml:space="preserve">Número de cuota dentro del crédito.</t>
      </text>
    </comment>
    <comment authorId="0" ref="E284">
      <text>
        <t xml:space="preserve">Fecha según EDATE a partir del primer vencimiento. No ajusta automáticamente feriados.</t>
      </text>
    </comment>
    <comment authorId="0" ref="F284">
      <text>
        <t xml:space="preserve">Capital al inicio del período en el calendario ORIGINAL, sin recalcular por pagos reales.</t>
      </text>
    </comment>
    <comment authorId="0" ref="G284">
      <text>
        <t xml:space="preserve">Tasa efectiva del mes según la base ingresada.</t>
      </text>
    </comment>
    <comment authorId="0" ref="H284">
      <text>
        <t xml:space="preserve">Interés del período = capital inicial × tasa mensual, redondeado a dos decimales.</t>
      </text>
    </comment>
    <comment authorId="0" ref="I284">
      <text>
        <t xml:space="preserve">Capital e interés pactados. La última cuota ajusta el saldo por redondeo.</t>
      </text>
    </comment>
    <comment authorId="0" ref="J284">
      <text>
        <t xml:space="preserve">Capital amortizado TEÓRICO = cuota base − interés, limitado al saldo.</t>
      </text>
    </comment>
    <comment authorId="0" ref="K284">
      <text>
        <t xml:space="preserve">Seguro y otros cargos fijos del mes.</t>
      </text>
    </comment>
    <comment authorId="0" ref="L284">
      <text>
        <t xml:space="preserve">Cuota base + cargos.</t>
      </text>
    </comment>
    <comment authorId="0" ref="M284">
      <text>
        <t xml:space="preserve">Capital final del calendario teórico. No equivale al saldo real si hay pagos parciales o atrasos.</t>
      </text>
    </comment>
    <comment authorId="0" ref="N284">
      <text>
        <t xml:space="preserve">Suma de pagos válidos del mismo ID y cuota con fecha igual o anterior al corte.</t>
      </text>
    </comment>
    <comment authorId="0" ref="O284">
      <text>
        <t xml:space="preserve">MIN(amortización pactada; MAX(0; pagado − cargos − interés)). No imputa excedentes a otras cuotas.</t>
      </text>
    </comment>
    <comment authorId="0" ref="P284">
      <text>
        <t xml:space="preserve">MAX(0; total pactado − pagado a esta cuota). Incluye capital, interés y cargos pendientes de ESA cuota.</t>
      </text>
    </comment>
    <comment authorId="0" ref="Q284">
      <text>
        <t xml:space="preserve">Días desde vencimiento hasta corte, solo si venció antes del corte y sigue con saldo.</t>
      </text>
    </comment>
    <comment authorId="0" ref="R284">
      <text>
        <t xml:space="preserve">MAX(0; pagado − cuota pactada). Exceso para revisar: no se traspasa a otra cuota.</t>
      </text>
    </comment>
    <comment authorId="0" ref="S284">
      <text>
        <t xml:space="preserve">Pagada, Vencida, Vence hoy, Por vencer o Exceso sin imputar según fecha y saldo al corte.</t>
      </text>
    </comment>
    <comment authorId="0" ref="T284">
      <text>
        <t xml:space="preserve">Auxiliar para encontrar la primera cuota pendiente. El 999999 indica que esta cuota no tiene saldo pendiente o está fuera del plazo, y no es una fecha real.</t>
      </text>
    </comment>
    <comment authorId="0" ref="C285">
      <text>
        <t xml:space="preserve">Crédito al que corresponde esta cuota.</t>
      </text>
    </comment>
    <comment authorId="0" ref="D285">
      <text>
        <t xml:space="preserve">Número de cuota dentro del crédito.</t>
      </text>
    </comment>
    <comment authorId="0" ref="E285">
      <text>
        <t xml:space="preserve">Fecha según EDATE a partir del primer vencimiento. No ajusta automáticamente feriados.</t>
      </text>
    </comment>
    <comment authorId="0" ref="F285">
      <text>
        <t xml:space="preserve">Capital al inicio del período en el calendario ORIGINAL, sin recalcular por pagos reales.</t>
      </text>
    </comment>
    <comment authorId="0" ref="G285">
      <text>
        <t xml:space="preserve">Tasa efectiva del mes según la base ingresada.</t>
      </text>
    </comment>
    <comment authorId="0" ref="H285">
      <text>
        <t xml:space="preserve">Interés del período = capital inicial × tasa mensual, redondeado a dos decimales.</t>
      </text>
    </comment>
    <comment authorId="0" ref="I285">
      <text>
        <t xml:space="preserve">Capital e interés pactados. La última cuota ajusta el saldo por redondeo.</t>
      </text>
    </comment>
    <comment authorId="0" ref="J285">
      <text>
        <t xml:space="preserve">Capital amortizado TEÓRICO = cuota base − interés, limitado al saldo.</t>
      </text>
    </comment>
    <comment authorId="0" ref="K285">
      <text>
        <t xml:space="preserve">Seguro y otros cargos fijos del mes.</t>
      </text>
    </comment>
    <comment authorId="0" ref="L285">
      <text>
        <t xml:space="preserve">Cuota base + cargos.</t>
      </text>
    </comment>
    <comment authorId="0" ref="M285">
      <text>
        <t xml:space="preserve">Capital final del calendario teórico. No equivale al saldo real si hay pagos parciales o atrasos.</t>
      </text>
    </comment>
    <comment authorId="0" ref="N285">
      <text>
        <t xml:space="preserve">Suma de pagos válidos del mismo ID y cuota con fecha igual o anterior al corte.</t>
      </text>
    </comment>
    <comment authorId="0" ref="O285">
      <text>
        <t xml:space="preserve">MIN(amortización pactada; MAX(0; pagado − cargos − interés)). No imputa excedentes a otras cuotas.</t>
      </text>
    </comment>
    <comment authorId="0" ref="P285">
      <text>
        <t xml:space="preserve">MAX(0; total pactado − pagado a esta cuota). Incluye capital, interés y cargos pendientes de ESA cuota.</t>
      </text>
    </comment>
    <comment authorId="0" ref="Q285">
      <text>
        <t xml:space="preserve">Días desde vencimiento hasta corte, solo si venció antes del corte y sigue con saldo.</t>
      </text>
    </comment>
    <comment authorId="0" ref="R285">
      <text>
        <t xml:space="preserve">MAX(0; pagado − cuota pactada). Exceso para revisar: no se traspasa a otra cuota.</t>
      </text>
    </comment>
    <comment authorId="0" ref="S285">
      <text>
        <t xml:space="preserve">Pagada, Vencida, Vence hoy, Por vencer o Exceso sin imputar según fecha y saldo al corte.</t>
      </text>
    </comment>
    <comment authorId="0" ref="T285">
      <text>
        <t xml:space="preserve">Auxiliar para encontrar la primera cuota pendiente. El 999999 indica que esta cuota no tiene saldo pendiente o está fuera del plazo, y no es una fecha real.</t>
      </text>
    </comment>
    <comment authorId="0" ref="C286">
      <text>
        <t xml:space="preserve">Crédito al que corresponde esta cuota.</t>
      </text>
    </comment>
    <comment authorId="0" ref="D286">
      <text>
        <t xml:space="preserve">Número de cuota dentro del crédito.</t>
      </text>
    </comment>
    <comment authorId="0" ref="E286">
      <text>
        <t xml:space="preserve">Fecha según EDATE a partir del primer vencimiento. No ajusta automáticamente feriados.</t>
      </text>
    </comment>
    <comment authorId="0" ref="F286">
      <text>
        <t xml:space="preserve">Capital al inicio del período en el calendario ORIGINAL, sin recalcular por pagos reales.</t>
      </text>
    </comment>
    <comment authorId="0" ref="G286">
      <text>
        <t xml:space="preserve">Tasa efectiva del mes según la base ingresada.</t>
      </text>
    </comment>
    <comment authorId="0" ref="H286">
      <text>
        <t xml:space="preserve">Interés del período = capital inicial × tasa mensual, redondeado a dos decimales.</t>
      </text>
    </comment>
    <comment authorId="0" ref="I286">
      <text>
        <t xml:space="preserve">Capital e interés pactados. La última cuota ajusta el saldo por redondeo.</t>
      </text>
    </comment>
    <comment authorId="0" ref="J286">
      <text>
        <t xml:space="preserve">Capital amortizado TEÓRICO = cuota base − interés, limitado al saldo.</t>
      </text>
    </comment>
    <comment authorId="0" ref="K286">
      <text>
        <t xml:space="preserve">Seguro y otros cargos fijos del mes.</t>
      </text>
    </comment>
    <comment authorId="0" ref="L286">
      <text>
        <t xml:space="preserve">Cuota base + cargos.</t>
      </text>
    </comment>
    <comment authorId="0" ref="M286">
      <text>
        <t xml:space="preserve">Capital final del calendario teórico. No equivale al saldo real si hay pagos parciales o atrasos.</t>
      </text>
    </comment>
    <comment authorId="0" ref="N286">
      <text>
        <t xml:space="preserve">Suma de pagos válidos del mismo ID y cuota con fecha igual o anterior al corte.</t>
      </text>
    </comment>
    <comment authorId="0" ref="O286">
      <text>
        <t xml:space="preserve">MIN(amortización pactada; MAX(0; pagado − cargos − interés)). No imputa excedentes a otras cuotas.</t>
      </text>
    </comment>
    <comment authorId="0" ref="P286">
      <text>
        <t xml:space="preserve">MAX(0; total pactado − pagado a esta cuota). Incluye capital, interés y cargos pendientes de ESA cuota.</t>
      </text>
    </comment>
    <comment authorId="0" ref="Q286">
      <text>
        <t xml:space="preserve">Días desde vencimiento hasta corte, solo si venció antes del corte y sigue con saldo.</t>
      </text>
    </comment>
    <comment authorId="0" ref="R286">
      <text>
        <t xml:space="preserve">MAX(0; pagado − cuota pactada). Exceso para revisar: no se traspasa a otra cuota.</t>
      </text>
    </comment>
    <comment authorId="0" ref="S286">
      <text>
        <t xml:space="preserve">Pagada, Vencida, Vence hoy, Por vencer o Exceso sin imputar según fecha y saldo al corte.</t>
      </text>
    </comment>
    <comment authorId="0" ref="T286">
      <text>
        <t xml:space="preserve">Auxiliar para encontrar la primera cuota pendiente. El 999999 indica que esta cuota no tiene saldo pendiente o está fuera del plazo, y no es una fecha real.</t>
      </text>
    </comment>
    <comment authorId="0" ref="C287">
      <text>
        <t xml:space="preserve">Crédito al que corresponde esta cuota.</t>
      </text>
    </comment>
    <comment authorId="0" ref="D287">
      <text>
        <t xml:space="preserve">Número de cuota dentro del crédito.</t>
      </text>
    </comment>
    <comment authorId="0" ref="E287">
      <text>
        <t xml:space="preserve">Fecha según EDATE a partir del primer vencimiento. No ajusta automáticamente feriados.</t>
      </text>
    </comment>
    <comment authorId="0" ref="F287">
      <text>
        <t xml:space="preserve">Capital al inicio del período en el calendario ORIGINAL, sin recalcular por pagos reales.</t>
      </text>
    </comment>
    <comment authorId="0" ref="G287">
      <text>
        <t xml:space="preserve">Tasa efectiva del mes según la base ingresada.</t>
      </text>
    </comment>
    <comment authorId="0" ref="H287">
      <text>
        <t xml:space="preserve">Interés del período = capital inicial × tasa mensual, redondeado a dos decimales.</t>
      </text>
    </comment>
    <comment authorId="0" ref="I287">
      <text>
        <t xml:space="preserve">Capital e interés pactados. La última cuota ajusta el saldo por redondeo.</t>
      </text>
    </comment>
    <comment authorId="0" ref="J287">
      <text>
        <t xml:space="preserve">Capital amortizado TEÓRICO = cuota base − interés, limitado al saldo.</t>
      </text>
    </comment>
    <comment authorId="0" ref="K287">
      <text>
        <t xml:space="preserve">Seguro y otros cargos fijos del mes.</t>
      </text>
    </comment>
    <comment authorId="0" ref="L287">
      <text>
        <t xml:space="preserve">Cuota base + cargos.</t>
      </text>
    </comment>
    <comment authorId="0" ref="M287">
      <text>
        <t xml:space="preserve">Capital final del calendario teórico. No equivale al saldo real si hay pagos parciales o atrasos.</t>
      </text>
    </comment>
    <comment authorId="0" ref="N287">
      <text>
        <t xml:space="preserve">Suma de pagos válidos del mismo ID y cuota con fecha igual o anterior al corte.</t>
      </text>
    </comment>
    <comment authorId="0" ref="O287">
      <text>
        <t xml:space="preserve">MIN(amortización pactada; MAX(0; pagado − cargos − interés)). No imputa excedentes a otras cuotas.</t>
      </text>
    </comment>
    <comment authorId="0" ref="P287">
      <text>
        <t xml:space="preserve">MAX(0; total pactado − pagado a esta cuota). Incluye capital, interés y cargos pendientes de ESA cuota.</t>
      </text>
    </comment>
    <comment authorId="0" ref="Q287">
      <text>
        <t xml:space="preserve">Días desde vencimiento hasta corte, solo si venció antes del corte y sigue con saldo.</t>
      </text>
    </comment>
    <comment authorId="0" ref="R287">
      <text>
        <t xml:space="preserve">MAX(0; pagado − cuota pactada). Exceso para revisar: no se traspasa a otra cuota.</t>
      </text>
    </comment>
    <comment authorId="0" ref="S287">
      <text>
        <t xml:space="preserve">Pagada, Vencida, Vence hoy, Por vencer o Exceso sin imputar según fecha y saldo al corte.</t>
      </text>
    </comment>
    <comment authorId="0" ref="T287">
      <text>
        <t xml:space="preserve">Auxiliar para encontrar la primera cuota pendiente. El 999999 indica que esta cuota no tiene saldo pendiente o está fuera del plazo, y no es una fecha real.</t>
      </text>
    </comment>
    <comment authorId="0" ref="C288">
      <text>
        <t xml:space="preserve">Crédito al que corresponde esta cuota.</t>
      </text>
    </comment>
    <comment authorId="0" ref="D288">
      <text>
        <t xml:space="preserve">Número de cuota dentro del crédito.</t>
      </text>
    </comment>
    <comment authorId="0" ref="E288">
      <text>
        <t xml:space="preserve">Fecha según EDATE a partir del primer vencimiento. No ajusta automáticamente feriados.</t>
      </text>
    </comment>
    <comment authorId="0" ref="F288">
      <text>
        <t xml:space="preserve">Capital al inicio del período en el calendario ORIGINAL, sin recalcular por pagos reales.</t>
      </text>
    </comment>
    <comment authorId="0" ref="G288">
      <text>
        <t xml:space="preserve">Tasa efectiva del mes según la base ingresada.</t>
      </text>
    </comment>
    <comment authorId="0" ref="H288">
      <text>
        <t xml:space="preserve">Interés del período = capital inicial × tasa mensual, redondeado a dos decimales.</t>
      </text>
    </comment>
    <comment authorId="0" ref="I288">
      <text>
        <t xml:space="preserve">Capital e interés pactados. La última cuota ajusta el saldo por redondeo.</t>
      </text>
    </comment>
    <comment authorId="0" ref="J288">
      <text>
        <t xml:space="preserve">Capital amortizado TEÓRICO = cuota base − interés, limitado al saldo.</t>
      </text>
    </comment>
    <comment authorId="0" ref="K288">
      <text>
        <t xml:space="preserve">Seguro y otros cargos fijos del mes.</t>
      </text>
    </comment>
    <comment authorId="0" ref="L288">
      <text>
        <t xml:space="preserve">Cuota base + cargos.</t>
      </text>
    </comment>
    <comment authorId="0" ref="M288">
      <text>
        <t xml:space="preserve">Capital final del calendario teórico. No equivale al saldo real si hay pagos parciales o atrasos.</t>
      </text>
    </comment>
    <comment authorId="0" ref="N288">
      <text>
        <t xml:space="preserve">Suma de pagos válidos del mismo ID y cuota con fecha igual o anterior al corte.</t>
      </text>
    </comment>
    <comment authorId="0" ref="O288">
      <text>
        <t xml:space="preserve">MIN(amortización pactada; MAX(0; pagado − cargos − interés)). No imputa excedentes a otras cuotas.</t>
      </text>
    </comment>
    <comment authorId="0" ref="P288">
      <text>
        <t xml:space="preserve">MAX(0; total pactado − pagado a esta cuota). Incluye capital, interés y cargos pendientes de ESA cuota.</t>
      </text>
    </comment>
    <comment authorId="0" ref="Q288">
      <text>
        <t xml:space="preserve">Días desde vencimiento hasta corte, solo si venció antes del corte y sigue con saldo.</t>
      </text>
    </comment>
    <comment authorId="0" ref="R288">
      <text>
        <t xml:space="preserve">MAX(0; pagado − cuota pactada). Exceso para revisar: no se traspasa a otra cuota.</t>
      </text>
    </comment>
    <comment authorId="0" ref="S288">
      <text>
        <t xml:space="preserve">Pagada, Vencida, Vence hoy, Por vencer o Exceso sin imputar según fecha y saldo al corte.</t>
      </text>
    </comment>
    <comment authorId="0" ref="T288">
      <text>
        <t xml:space="preserve">Auxiliar para encontrar la primera cuota pendiente. El 999999 indica que esta cuota no tiene saldo pendiente o está fuera del plazo, y no es una fecha real.</t>
      </text>
    </comment>
    <comment authorId="0" ref="C289">
      <text>
        <t xml:space="preserve">Crédito al que corresponde esta cuota.</t>
      </text>
    </comment>
    <comment authorId="0" ref="D289">
      <text>
        <t xml:space="preserve">Número de cuota dentro del crédito.</t>
      </text>
    </comment>
    <comment authorId="0" ref="E289">
      <text>
        <t xml:space="preserve">Fecha según EDATE a partir del primer vencimiento. No ajusta automáticamente feriados.</t>
      </text>
    </comment>
    <comment authorId="0" ref="F289">
      <text>
        <t xml:space="preserve">Capital al inicio del período en el calendario ORIGINAL, sin recalcular por pagos reales.</t>
      </text>
    </comment>
    <comment authorId="0" ref="G289">
      <text>
        <t xml:space="preserve">Tasa efectiva del mes según la base ingresada.</t>
      </text>
    </comment>
    <comment authorId="0" ref="H289">
      <text>
        <t xml:space="preserve">Interés del período = capital inicial × tasa mensual, redondeado a dos decimales.</t>
      </text>
    </comment>
    <comment authorId="0" ref="I289">
      <text>
        <t xml:space="preserve">Capital e interés pactados. La última cuota ajusta el saldo por redondeo.</t>
      </text>
    </comment>
    <comment authorId="0" ref="J289">
      <text>
        <t xml:space="preserve">Capital amortizado TEÓRICO = cuota base − interés, limitado al saldo.</t>
      </text>
    </comment>
    <comment authorId="0" ref="K289">
      <text>
        <t xml:space="preserve">Seguro y otros cargos fijos del mes.</t>
      </text>
    </comment>
    <comment authorId="0" ref="L289">
      <text>
        <t xml:space="preserve">Cuota base + cargos.</t>
      </text>
    </comment>
    <comment authorId="0" ref="M289">
      <text>
        <t xml:space="preserve">Capital final del calendario teórico. No equivale al saldo real si hay pagos parciales o atrasos.</t>
      </text>
    </comment>
    <comment authorId="0" ref="N289">
      <text>
        <t xml:space="preserve">Suma de pagos válidos del mismo ID y cuota con fecha igual o anterior al corte.</t>
      </text>
    </comment>
    <comment authorId="0" ref="O289">
      <text>
        <t xml:space="preserve">MIN(amortización pactada; MAX(0; pagado − cargos − interés)). No imputa excedentes a otras cuotas.</t>
      </text>
    </comment>
    <comment authorId="0" ref="P289">
      <text>
        <t xml:space="preserve">MAX(0; total pactado − pagado a esta cuota). Incluye capital, interés y cargos pendientes de ESA cuota.</t>
      </text>
    </comment>
    <comment authorId="0" ref="Q289">
      <text>
        <t xml:space="preserve">Días desde vencimiento hasta corte, solo si venció antes del corte y sigue con saldo.</t>
      </text>
    </comment>
    <comment authorId="0" ref="R289">
      <text>
        <t xml:space="preserve">MAX(0; pagado − cuota pactada). Exceso para revisar: no se traspasa a otra cuota.</t>
      </text>
    </comment>
    <comment authorId="0" ref="S289">
      <text>
        <t xml:space="preserve">Pagada, Vencida, Vence hoy, Por vencer o Exceso sin imputar según fecha y saldo al corte.</t>
      </text>
    </comment>
    <comment authorId="0" ref="T289">
      <text>
        <t xml:space="preserve">Auxiliar para encontrar la primera cuota pendiente. El 999999 indica que esta cuota no tiene saldo pendiente o está fuera del plazo, y no es una fecha real.</t>
      </text>
    </comment>
    <comment authorId="0" ref="C290">
      <text>
        <t xml:space="preserve">Crédito al que corresponde esta cuota.</t>
      </text>
    </comment>
    <comment authorId="0" ref="D290">
      <text>
        <t xml:space="preserve">Número de cuota dentro del crédito.</t>
      </text>
    </comment>
    <comment authorId="0" ref="E290">
      <text>
        <t xml:space="preserve">Fecha según EDATE a partir del primer vencimiento. No ajusta automáticamente feriados.</t>
      </text>
    </comment>
    <comment authorId="0" ref="F290">
      <text>
        <t xml:space="preserve">Capital al inicio del período en el calendario ORIGINAL, sin recalcular por pagos reales.</t>
      </text>
    </comment>
    <comment authorId="0" ref="G290">
      <text>
        <t xml:space="preserve">Tasa efectiva del mes según la base ingresada.</t>
      </text>
    </comment>
    <comment authorId="0" ref="H290">
      <text>
        <t xml:space="preserve">Interés del período = capital inicial × tasa mensual, redondeado a dos decimales.</t>
      </text>
    </comment>
    <comment authorId="0" ref="I290">
      <text>
        <t xml:space="preserve">Capital e interés pactados. La última cuota ajusta el saldo por redondeo.</t>
      </text>
    </comment>
    <comment authorId="0" ref="J290">
      <text>
        <t xml:space="preserve">Capital amortizado TEÓRICO = cuota base − interés, limitado al saldo.</t>
      </text>
    </comment>
    <comment authorId="0" ref="K290">
      <text>
        <t xml:space="preserve">Seguro y otros cargos fijos del mes.</t>
      </text>
    </comment>
    <comment authorId="0" ref="L290">
      <text>
        <t xml:space="preserve">Cuota base + cargos.</t>
      </text>
    </comment>
    <comment authorId="0" ref="M290">
      <text>
        <t xml:space="preserve">Capital final del calendario teórico. No equivale al saldo real si hay pagos parciales o atrasos.</t>
      </text>
    </comment>
    <comment authorId="0" ref="N290">
      <text>
        <t xml:space="preserve">Suma de pagos válidos del mismo ID y cuota con fecha igual o anterior al corte.</t>
      </text>
    </comment>
    <comment authorId="0" ref="O290">
      <text>
        <t xml:space="preserve">MIN(amortización pactada; MAX(0; pagado − cargos − interés)). No imputa excedentes a otras cuotas.</t>
      </text>
    </comment>
    <comment authorId="0" ref="P290">
      <text>
        <t xml:space="preserve">MAX(0; total pactado − pagado a esta cuota). Incluye capital, interés y cargos pendientes de ESA cuota.</t>
      </text>
    </comment>
    <comment authorId="0" ref="Q290">
      <text>
        <t xml:space="preserve">Días desde vencimiento hasta corte, solo si venció antes del corte y sigue con saldo.</t>
      </text>
    </comment>
    <comment authorId="0" ref="R290">
      <text>
        <t xml:space="preserve">MAX(0; pagado − cuota pactada). Exceso para revisar: no se traspasa a otra cuota.</t>
      </text>
    </comment>
    <comment authorId="0" ref="S290">
      <text>
        <t xml:space="preserve">Pagada, Vencida, Vence hoy, Por vencer o Exceso sin imputar según fecha y saldo al corte.</t>
      </text>
    </comment>
    <comment authorId="0" ref="T290">
      <text>
        <t xml:space="preserve">Auxiliar para encontrar la primera cuota pendiente. El 999999 indica que esta cuota no tiene saldo pendiente o está fuera del plazo, y no es una fecha real.</t>
      </text>
    </comment>
    <comment authorId="0" ref="C291">
      <text>
        <t xml:space="preserve">Crédito al que corresponde esta cuota.</t>
      </text>
    </comment>
    <comment authorId="0" ref="D291">
      <text>
        <t xml:space="preserve">Número de cuota dentro del crédito.</t>
      </text>
    </comment>
    <comment authorId="0" ref="E291">
      <text>
        <t xml:space="preserve">Fecha según EDATE a partir del primer vencimiento. No ajusta automáticamente feriados.</t>
      </text>
    </comment>
    <comment authorId="0" ref="F291">
      <text>
        <t xml:space="preserve">Capital al inicio del período en el calendario ORIGINAL, sin recalcular por pagos reales.</t>
      </text>
    </comment>
    <comment authorId="0" ref="G291">
      <text>
        <t xml:space="preserve">Tasa efectiva del mes según la base ingresada.</t>
      </text>
    </comment>
    <comment authorId="0" ref="H291">
      <text>
        <t xml:space="preserve">Interés del período = capital inicial × tasa mensual, redondeado a dos decimales.</t>
      </text>
    </comment>
    <comment authorId="0" ref="I291">
      <text>
        <t xml:space="preserve">Capital e interés pactados. La última cuota ajusta el saldo por redondeo.</t>
      </text>
    </comment>
    <comment authorId="0" ref="J291">
      <text>
        <t xml:space="preserve">Capital amortizado TEÓRICO = cuota base − interés, limitado al saldo.</t>
      </text>
    </comment>
    <comment authorId="0" ref="K291">
      <text>
        <t xml:space="preserve">Seguro y otros cargos fijos del mes.</t>
      </text>
    </comment>
    <comment authorId="0" ref="L291">
      <text>
        <t xml:space="preserve">Cuota base + cargos.</t>
      </text>
    </comment>
    <comment authorId="0" ref="M291">
      <text>
        <t xml:space="preserve">Capital final del calendario teórico. No equivale al saldo real si hay pagos parciales o atrasos.</t>
      </text>
    </comment>
    <comment authorId="0" ref="N291">
      <text>
        <t xml:space="preserve">Suma de pagos válidos del mismo ID y cuota con fecha igual o anterior al corte.</t>
      </text>
    </comment>
    <comment authorId="0" ref="O291">
      <text>
        <t xml:space="preserve">MIN(amortización pactada; MAX(0; pagado − cargos − interés)). No imputa excedentes a otras cuotas.</t>
      </text>
    </comment>
    <comment authorId="0" ref="P291">
      <text>
        <t xml:space="preserve">MAX(0; total pactado − pagado a esta cuota). Incluye capital, interés y cargos pendientes de ESA cuota.</t>
      </text>
    </comment>
    <comment authorId="0" ref="Q291">
      <text>
        <t xml:space="preserve">Días desde vencimiento hasta corte, solo si venció antes del corte y sigue con saldo.</t>
      </text>
    </comment>
    <comment authorId="0" ref="R291">
      <text>
        <t xml:space="preserve">MAX(0; pagado − cuota pactada). Exceso para revisar: no se traspasa a otra cuota.</t>
      </text>
    </comment>
    <comment authorId="0" ref="S291">
      <text>
        <t xml:space="preserve">Pagada, Vencida, Vence hoy, Por vencer o Exceso sin imputar según fecha y saldo al corte.</t>
      </text>
    </comment>
    <comment authorId="0" ref="T291">
      <text>
        <t xml:space="preserve">Auxiliar para encontrar la primera cuota pendiente. El 999999 indica que esta cuota no tiene saldo pendiente o está fuera del plazo, y no es una fecha real.</t>
      </text>
    </comment>
    <comment authorId="0" ref="C292">
      <text>
        <t xml:space="preserve">Crédito al que corresponde esta cuota.</t>
      </text>
    </comment>
    <comment authorId="0" ref="D292">
      <text>
        <t xml:space="preserve">Número de cuota dentro del crédito.</t>
      </text>
    </comment>
    <comment authorId="0" ref="E292">
      <text>
        <t xml:space="preserve">Fecha según EDATE a partir del primer vencimiento. No ajusta automáticamente feriados.</t>
      </text>
    </comment>
    <comment authorId="0" ref="F292">
      <text>
        <t xml:space="preserve">Capital al inicio del período en el calendario ORIGINAL, sin recalcular por pagos reales.</t>
      </text>
    </comment>
    <comment authorId="0" ref="G292">
      <text>
        <t xml:space="preserve">Tasa efectiva del mes según la base ingresada.</t>
      </text>
    </comment>
    <comment authorId="0" ref="H292">
      <text>
        <t xml:space="preserve">Interés del período = capital inicial × tasa mensual, redondeado a dos decimales.</t>
      </text>
    </comment>
    <comment authorId="0" ref="I292">
      <text>
        <t xml:space="preserve">Capital e interés pactados. La última cuota ajusta el saldo por redondeo.</t>
      </text>
    </comment>
    <comment authorId="0" ref="J292">
      <text>
        <t xml:space="preserve">Capital amortizado TEÓRICO = cuota base − interés, limitado al saldo.</t>
      </text>
    </comment>
    <comment authorId="0" ref="K292">
      <text>
        <t xml:space="preserve">Seguro y otros cargos fijos del mes.</t>
      </text>
    </comment>
    <comment authorId="0" ref="L292">
      <text>
        <t xml:space="preserve">Cuota base + cargos.</t>
      </text>
    </comment>
    <comment authorId="0" ref="M292">
      <text>
        <t xml:space="preserve">Capital final del calendario teórico. No equivale al saldo real si hay pagos parciales o atrasos.</t>
      </text>
    </comment>
    <comment authorId="0" ref="N292">
      <text>
        <t xml:space="preserve">Suma de pagos válidos del mismo ID y cuota con fecha igual o anterior al corte.</t>
      </text>
    </comment>
    <comment authorId="0" ref="O292">
      <text>
        <t xml:space="preserve">MIN(amortización pactada; MAX(0; pagado − cargos − interés)). No imputa excedentes a otras cuotas.</t>
      </text>
    </comment>
    <comment authorId="0" ref="P292">
      <text>
        <t xml:space="preserve">MAX(0; total pactado − pagado a esta cuota). Incluye capital, interés y cargos pendientes de ESA cuota.</t>
      </text>
    </comment>
    <comment authorId="0" ref="Q292">
      <text>
        <t xml:space="preserve">Días desde vencimiento hasta corte, solo si venció antes del corte y sigue con saldo.</t>
      </text>
    </comment>
    <comment authorId="0" ref="R292">
      <text>
        <t xml:space="preserve">MAX(0; pagado − cuota pactada). Exceso para revisar: no se traspasa a otra cuota.</t>
      </text>
    </comment>
    <comment authorId="0" ref="S292">
      <text>
        <t xml:space="preserve">Pagada, Vencida, Vence hoy, Por vencer o Exceso sin imputar según fecha y saldo al corte.</t>
      </text>
    </comment>
    <comment authorId="0" ref="T292">
      <text>
        <t xml:space="preserve">Auxiliar para encontrar la primera cuota pendiente. El 999999 indica que esta cuota no tiene saldo pendiente o está fuera del plazo, y no es una fecha real.</t>
      </text>
    </comment>
    <comment authorId="0" ref="C293">
      <text>
        <t xml:space="preserve">Crédito al que corresponde esta cuota.</t>
      </text>
    </comment>
    <comment authorId="0" ref="D293">
      <text>
        <t xml:space="preserve">Número de cuota dentro del crédito.</t>
      </text>
    </comment>
    <comment authorId="0" ref="E293">
      <text>
        <t xml:space="preserve">Fecha según EDATE a partir del primer vencimiento. No ajusta automáticamente feriados.</t>
      </text>
    </comment>
    <comment authorId="0" ref="F293">
      <text>
        <t xml:space="preserve">Capital al inicio del período en el calendario ORIGINAL, sin recalcular por pagos reales.</t>
      </text>
    </comment>
    <comment authorId="0" ref="G293">
      <text>
        <t xml:space="preserve">Tasa efectiva del mes según la base ingresada.</t>
      </text>
    </comment>
    <comment authorId="0" ref="H293">
      <text>
        <t xml:space="preserve">Interés del período = capital inicial × tasa mensual, redondeado a dos decimales.</t>
      </text>
    </comment>
    <comment authorId="0" ref="I293">
      <text>
        <t xml:space="preserve">Capital e interés pactados. La última cuota ajusta el saldo por redondeo.</t>
      </text>
    </comment>
    <comment authorId="0" ref="J293">
      <text>
        <t xml:space="preserve">Capital amortizado TEÓRICO = cuota base − interés, limitado al saldo.</t>
      </text>
    </comment>
    <comment authorId="0" ref="K293">
      <text>
        <t xml:space="preserve">Seguro y otros cargos fijos del mes.</t>
      </text>
    </comment>
    <comment authorId="0" ref="L293">
      <text>
        <t xml:space="preserve">Cuota base + cargos.</t>
      </text>
    </comment>
    <comment authorId="0" ref="M293">
      <text>
        <t xml:space="preserve">Capital final del calendario teórico. No equivale al saldo real si hay pagos parciales o atrasos.</t>
      </text>
    </comment>
    <comment authorId="0" ref="N293">
      <text>
        <t xml:space="preserve">Suma de pagos válidos del mismo ID y cuota con fecha igual o anterior al corte.</t>
      </text>
    </comment>
    <comment authorId="0" ref="O293">
      <text>
        <t xml:space="preserve">MIN(amortización pactada; MAX(0; pagado − cargos − interés)). No imputa excedentes a otras cuotas.</t>
      </text>
    </comment>
    <comment authorId="0" ref="P293">
      <text>
        <t xml:space="preserve">MAX(0; total pactado − pagado a esta cuota). Incluye capital, interés y cargos pendientes de ESA cuota.</t>
      </text>
    </comment>
    <comment authorId="0" ref="Q293">
      <text>
        <t xml:space="preserve">Días desde vencimiento hasta corte, solo si venció antes del corte y sigue con saldo.</t>
      </text>
    </comment>
    <comment authorId="0" ref="R293">
      <text>
        <t xml:space="preserve">MAX(0; pagado − cuota pactada). Exceso para revisar: no se traspasa a otra cuota.</t>
      </text>
    </comment>
    <comment authorId="0" ref="S293">
      <text>
        <t xml:space="preserve">Pagada, Vencida, Vence hoy, Por vencer o Exceso sin imputar según fecha y saldo al corte.</t>
      </text>
    </comment>
    <comment authorId="0" ref="T293">
      <text>
        <t xml:space="preserve">Auxiliar para encontrar la primera cuota pendiente. El 999999 indica que esta cuota no tiene saldo pendiente o está fuera del plazo, y no es una fecha real.</t>
      </text>
    </comment>
    <comment authorId="0" ref="C294">
      <text>
        <t xml:space="preserve">Crédito al que corresponde esta cuota.</t>
      </text>
    </comment>
    <comment authorId="0" ref="D294">
      <text>
        <t xml:space="preserve">Número de cuota dentro del crédito.</t>
      </text>
    </comment>
    <comment authorId="0" ref="E294">
      <text>
        <t xml:space="preserve">Fecha según EDATE a partir del primer vencimiento. No ajusta automáticamente feriados.</t>
      </text>
    </comment>
    <comment authorId="0" ref="F294">
      <text>
        <t xml:space="preserve">Capital al inicio del período en el calendario ORIGINAL, sin recalcular por pagos reales.</t>
      </text>
    </comment>
    <comment authorId="0" ref="G294">
      <text>
        <t xml:space="preserve">Tasa efectiva del mes según la base ingresada.</t>
      </text>
    </comment>
    <comment authorId="0" ref="H294">
      <text>
        <t xml:space="preserve">Interés del período = capital inicial × tasa mensual, redondeado a dos decimales.</t>
      </text>
    </comment>
    <comment authorId="0" ref="I294">
      <text>
        <t xml:space="preserve">Capital e interés pactados. La última cuota ajusta el saldo por redondeo.</t>
      </text>
    </comment>
    <comment authorId="0" ref="J294">
      <text>
        <t xml:space="preserve">Capital amortizado TEÓRICO = cuota base − interés, limitado al saldo.</t>
      </text>
    </comment>
    <comment authorId="0" ref="K294">
      <text>
        <t xml:space="preserve">Seguro y otros cargos fijos del mes.</t>
      </text>
    </comment>
    <comment authorId="0" ref="L294">
      <text>
        <t xml:space="preserve">Cuota base + cargos.</t>
      </text>
    </comment>
    <comment authorId="0" ref="M294">
      <text>
        <t xml:space="preserve">Capital final del calendario teórico. No equivale al saldo real si hay pagos parciales o atrasos.</t>
      </text>
    </comment>
    <comment authorId="0" ref="N294">
      <text>
        <t xml:space="preserve">Suma de pagos válidos del mismo ID y cuota con fecha igual o anterior al corte.</t>
      </text>
    </comment>
    <comment authorId="0" ref="O294">
      <text>
        <t xml:space="preserve">MIN(amortización pactada; MAX(0; pagado − cargos − interés)). No imputa excedentes a otras cuotas.</t>
      </text>
    </comment>
    <comment authorId="0" ref="P294">
      <text>
        <t xml:space="preserve">MAX(0; total pactado − pagado a esta cuota). Incluye capital, interés y cargos pendientes de ESA cuota.</t>
      </text>
    </comment>
    <comment authorId="0" ref="Q294">
      <text>
        <t xml:space="preserve">Días desde vencimiento hasta corte, solo si venció antes del corte y sigue con saldo.</t>
      </text>
    </comment>
    <comment authorId="0" ref="R294">
      <text>
        <t xml:space="preserve">MAX(0; pagado − cuota pactada). Exceso para revisar: no se traspasa a otra cuota.</t>
      </text>
    </comment>
    <comment authorId="0" ref="S294">
      <text>
        <t xml:space="preserve">Pagada, Vencida, Vence hoy, Por vencer o Exceso sin imputar según fecha y saldo al corte.</t>
      </text>
    </comment>
    <comment authorId="0" ref="T294">
      <text>
        <t xml:space="preserve">Auxiliar para encontrar la primera cuota pendiente. El 999999 indica que esta cuota no tiene saldo pendiente o está fuera del plazo, y no es una fecha real.</t>
      </text>
    </comment>
    <comment authorId="0" ref="C295">
      <text>
        <t xml:space="preserve">Crédito al que corresponde esta cuota.</t>
      </text>
    </comment>
    <comment authorId="0" ref="D295">
      <text>
        <t xml:space="preserve">Número de cuota dentro del crédito.</t>
      </text>
    </comment>
    <comment authorId="0" ref="E295">
      <text>
        <t xml:space="preserve">Fecha según EDATE a partir del primer vencimiento. No ajusta automáticamente feriados.</t>
      </text>
    </comment>
    <comment authorId="0" ref="F295">
      <text>
        <t xml:space="preserve">Capital al inicio del período en el calendario ORIGINAL, sin recalcular por pagos reales.</t>
      </text>
    </comment>
    <comment authorId="0" ref="G295">
      <text>
        <t xml:space="preserve">Tasa efectiva del mes según la base ingresada.</t>
      </text>
    </comment>
    <comment authorId="0" ref="H295">
      <text>
        <t xml:space="preserve">Interés del período = capital inicial × tasa mensual, redondeado a dos decimales.</t>
      </text>
    </comment>
    <comment authorId="0" ref="I295">
      <text>
        <t xml:space="preserve">Capital e interés pactados. La última cuota ajusta el saldo por redondeo.</t>
      </text>
    </comment>
    <comment authorId="0" ref="J295">
      <text>
        <t xml:space="preserve">Capital amortizado TEÓRICO = cuota base − interés, limitado al saldo.</t>
      </text>
    </comment>
    <comment authorId="0" ref="K295">
      <text>
        <t xml:space="preserve">Seguro y otros cargos fijos del mes.</t>
      </text>
    </comment>
    <comment authorId="0" ref="L295">
      <text>
        <t xml:space="preserve">Cuota base + cargos.</t>
      </text>
    </comment>
    <comment authorId="0" ref="M295">
      <text>
        <t xml:space="preserve">Capital final del calendario teórico. No equivale al saldo real si hay pagos parciales o atrasos.</t>
      </text>
    </comment>
    <comment authorId="0" ref="N295">
      <text>
        <t xml:space="preserve">Suma de pagos válidos del mismo ID y cuota con fecha igual o anterior al corte.</t>
      </text>
    </comment>
    <comment authorId="0" ref="O295">
      <text>
        <t xml:space="preserve">MIN(amortización pactada; MAX(0; pagado − cargos − interés)). No imputa excedentes a otras cuotas.</t>
      </text>
    </comment>
    <comment authorId="0" ref="P295">
      <text>
        <t xml:space="preserve">MAX(0; total pactado − pagado a esta cuota). Incluye capital, interés y cargos pendientes de ESA cuota.</t>
      </text>
    </comment>
    <comment authorId="0" ref="Q295">
      <text>
        <t xml:space="preserve">Días desde vencimiento hasta corte, solo si venció antes del corte y sigue con saldo.</t>
      </text>
    </comment>
    <comment authorId="0" ref="R295">
      <text>
        <t xml:space="preserve">MAX(0; pagado − cuota pactada). Exceso para revisar: no se traspasa a otra cuota.</t>
      </text>
    </comment>
    <comment authorId="0" ref="S295">
      <text>
        <t xml:space="preserve">Pagada, Vencida, Vence hoy, Por vencer o Exceso sin imputar según fecha y saldo al corte.</t>
      </text>
    </comment>
    <comment authorId="0" ref="T295">
      <text>
        <t xml:space="preserve">Auxiliar para encontrar la primera cuota pendiente. El 999999 indica que esta cuota no tiene saldo pendiente o está fuera del plazo, y no es una fecha real.</t>
      </text>
    </comment>
    <comment authorId="0" ref="C296">
      <text>
        <t xml:space="preserve">Crédito al que corresponde esta cuota.</t>
      </text>
    </comment>
    <comment authorId="0" ref="D296">
      <text>
        <t xml:space="preserve">Número de cuota dentro del crédito.</t>
      </text>
    </comment>
    <comment authorId="0" ref="E296">
      <text>
        <t xml:space="preserve">Fecha según EDATE a partir del primer vencimiento. No ajusta automáticamente feriados.</t>
      </text>
    </comment>
    <comment authorId="0" ref="F296">
      <text>
        <t xml:space="preserve">Capital al inicio del período en el calendario ORIGINAL, sin recalcular por pagos reales.</t>
      </text>
    </comment>
    <comment authorId="0" ref="G296">
      <text>
        <t xml:space="preserve">Tasa efectiva del mes según la base ingresada.</t>
      </text>
    </comment>
    <comment authorId="0" ref="H296">
      <text>
        <t xml:space="preserve">Interés del período = capital inicial × tasa mensual, redondeado a dos decimales.</t>
      </text>
    </comment>
    <comment authorId="0" ref="I296">
      <text>
        <t xml:space="preserve">Capital e interés pactados. La última cuota ajusta el saldo por redondeo.</t>
      </text>
    </comment>
    <comment authorId="0" ref="J296">
      <text>
        <t xml:space="preserve">Capital amortizado TEÓRICO = cuota base − interés, limitado al saldo.</t>
      </text>
    </comment>
    <comment authorId="0" ref="K296">
      <text>
        <t xml:space="preserve">Seguro y otros cargos fijos del mes.</t>
      </text>
    </comment>
    <comment authorId="0" ref="L296">
      <text>
        <t xml:space="preserve">Cuota base + cargos.</t>
      </text>
    </comment>
    <comment authorId="0" ref="M296">
      <text>
        <t xml:space="preserve">Capital final del calendario teórico. No equivale al saldo real si hay pagos parciales o atrasos.</t>
      </text>
    </comment>
    <comment authorId="0" ref="N296">
      <text>
        <t xml:space="preserve">Suma de pagos válidos del mismo ID y cuota con fecha igual o anterior al corte.</t>
      </text>
    </comment>
    <comment authorId="0" ref="O296">
      <text>
        <t xml:space="preserve">MIN(amortización pactada; MAX(0; pagado − cargos − interés)). No imputa excedentes a otras cuotas.</t>
      </text>
    </comment>
    <comment authorId="0" ref="P296">
      <text>
        <t xml:space="preserve">MAX(0; total pactado − pagado a esta cuota). Incluye capital, interés y cargos pendientes de ESA cuota.</t>
      </text>
    </comment>
    <comment authorId="0" ref="Q296">
      <text>
        <t xml:space="preserve">Días desde vencimiento hasta corte, solo si venció antes del corte y sigue con saldo.</t>
      </text>
    </comment>
    <comment authorId="0" ref="R296">
      <text>
        <t xml:space="preserve">MAX(0; pagado − cuota pactada). Exceso para revisar: no se traspasa a otra cuota.</t>
      </text>
    </comment>
    <comment authorId="0" ref="S296">
      <text>
        <t xml:space="preserve">Pagada, Vencida, Vence hoy, Por vencer o Exceso sin imputar según fecha y saldo al corte.</t>
      </text>
    </comment>
    <comment authorId="0" ref="T296">
      <text>
        <t xml:space="preserve">Auxiliar para encontrar la primera cuota pendiente. El 999999 indica que esta cuota no tiene saldo pendiente o está fuera del plazo, y no es una fecha real.</t>
      </text>
    </comment>
    <comment authorId="0" ref="C297">
      <text>
        <t xml:space="preserve">Crédito al que corresponde esta cuota.</t>
      </text>
    </comment>
    <comment authorId="0" ref="D297">
      <text>
        <t xml:space="preserve">Número de cuota dentro del crédito.</t>
      </text>
    </comment>
    <comment authorId="0" ref="E297">
      <text>
        <t xml:space="preserve">Fecha según EDATE a partir del primer vencimiento. No ajusta automáticamente feriados.</t>
      </text>
    </comment>
    <comment authorId="0" ref="F297">
      <text>
        <t xml:space="preserve">Capital al inicio del período en el calendario ORIGINAL, sin recalcular por pagos reales.</t>
      </text>
    </comment>
    <comment authorId="0" ref="G297">
      <text>
        <t xml:space="preserve">Tasa efectiva del mes según la base ingresada.</t>
      </text>
    </comment>
    <comment authorId="0" ref="H297">
      <text>
        <t xml:space="preserve">Interés del período = capital inicial × tasa mensual, redondeado a dos decimales.</t>
      </text>
    </comment>
    <comment authorId="0" ref="I297">
      <text>
        <t xml:space="preserve">Capital e interés pactados. La última cuota ajusta el saldo por redondeo.</t>
      </text>
    </comment>
    <comment authorId="0" ref="J297">
      <text>
        <t xml:space="preserve">Capital amortizado TEÓRICO = cuota base − interés, limitado al saldo.</t>
      </text>
    </comment>
    <comment authorId="0" ref="K297">
      <text>
        <t xml:space="preserve">Seguro y otros cargos fijos del mes.</t>
      </text>
    </comment>
    <comment authorId="0" ref="L297">
      <text>
        <t xml:space="preserve">Cuota base + cargos.</t>
      </text>
    </comment>
    <comment authorId="0" ref="M297">
      <text>
        <t xml:space="preserve">Capital final del calendario teórico. No equivale al saldo real si hay pagos parciales o atrasos.</t>
      </text>
    </comment>
    <comment authorId="0" ref="N297">
      <text>
        <t xml:space="preserve">Suma de pagos válidos del mismo ID y cuota con fecha igual o anterior al corte.</t>
      </text>
    </comment>
    <comment authorId="0" ref="O297">
      <text>
        <t xml:space="preserve">MIN(amortización pactada; MAX(0; pagado − cargos − interés)). No imputa excedentes a otras cuotas.</t>
      </text>
    </comment>
    <comment authorId="0" ref="P297">
      <text>
        <t xml:space="preserve">MAX(0; total pactado − pagado a esta cuota). Incluye capital, interés y cargos pendientes de ESA cuota.</t>
      </text>
    </comment>
    <comment authorId="0" ref="Q297">
      <text>
        <t xml:space="preserve">Días desde vencimiento hasta corte, solo si venció antes del corte y sigue con saldo.</t>
      </text>
    </comment>
    <comment authorId="0" ref="R297">
      <text>
        <t xml:space="preserve">MAX(0; pagado − cuota pactada). Exceso para revisar: no se traspasa a otra cuota.</t>
      </text>
    </comment>
    <comment authorId="0" ref="S297">
      <text>
        <t xml:space="preserve">Pagada, Vencida, Vence hoy, Por vencer o Exceso sin imputar según fecha y saldo al corte.</t>
      </text>
    </comment>
    <comment authorId="0" ref="T297">
      <text>
        <t xml:space="preserve">Auxiliar para encontrar la primera cuota pendiente. El 999999 indica que esta cuota no tiene saldo pendiente o está fuera del plazo, y no es una fecha real.</t>
      </text>
    </comment>
    <comment authorId="0" ref="C298">
      <text>
        <t xml:space="preserve">Crédito al que corresponde esta cuota.</t>
      </text>
    </comment>
    <comment authorId="0" ref="D298">
      <text>
        <t xml:space="preserve">Número de cuota dentro del crédito.</t>
      </text>
    </comment>
    <comment authorId="0" ref="E298">
      <text>
        <t xml:space="preserve">Fecha según EDATE a partir del primer vencimiento. No ajusta automáticamente feriados.</t>
      </text>
    </comment>
    <comment authorId="0" ref="F298">
      <text>
        <t xml:space="preserve">Capital al inicio del período en el calendario ORIGINAL, sin recalcular por pagos reales.</t>
      </text>
    </comment>
    <comment authorId="0" ref="G298">
      <text>
        <t xml:space="preserve">Tasa efectiva del mes según la base ingresada.</t>
      </text>
    </comment>
    <comment authorId="0" ref="H298">
      <text>
        <t xml:space="preserve">Interés del período = capital inicial × tasa mensual, redondeado a dos decimales.</t>
      </text>
    </comment>
    <comment authorId="0" ref="I298">
      <text>
        <t xml:space="preserve">Capital e interés pactados. La última cuota ajusta el saldo por redondeo.</t>
      </text>
    </comment>
    <comment authorId="0" ref="J298">
      <text>
        <t xml:space="preserve">Capital amortizado TEÓRICO = cuota base − interés, limitado al saldo.</t>
      </text>
    </comment>
    <comment authorId="0" ref="K298">
      <text>
        <t xml:space="preserve">Seguro y otros cargos fijos del mes.</t>
      </text>
    </comment>
    <comment authorId="0" ref="L298">
      <text>
        <t xml:space="preserve">Cuota base + cargos.</t>
      </text>
    </comment>
    <comment authorId="0" ref="M298">
      <text>
        <t xml:space="preserve">Capital final del calendario teórico. No equivale al saldo real si hay pagos parciales o atrasos.</t>
      </text>
    </comment>
    <comment authorId="0" ref="N298">
      <text>
        <t xml:space="preserve">Suma de pagos válidos del mismo ID y cuota con fecha igual o anterior al corte.</t>
      </text>
    </comment>
    <comment authorId="0" ref="O298">
      <text>
        <t xml:space="preserve">MIN(amortización pactada; MAX(0; pagado − cargos − interés)). No imputa excedentes a otras cuotas.</t>
      </text>
    </comment>
    <comment authorId="0" ref="P298">
      <text>
        <t xml:space="preserve">MAX(0; total pactado − pagado a esta cuota). Incluye capital, interés y cargos pendientes de ESA cuota.</t>
      </text>
    </comment>
    <comment authorId="0" ref="Q298">
      <text>
        <t xml:space="preserve">Días desde vencimiento hasta corte, solo si venció antes del corte y sigue con saldo.</t>
      </text>
    </comment>
    <comment authorId="0" ref="R298">
      <text>
        <t xml:space="preserve">MAX(0; pagado − cuota pactada). Exceso para revisar: no se traspasa a otra cuota.</t>
      </text>
    </comment>
    <comment authorId="0" ref="S298">
      <text>
        <t xml:space="preserve">Pagada, Vencida, Vence hoy, Por vencer o Exceso sin imputar según fecha y saldo al corte.</t>
      </text>
    </comment>
    <comment authorId="0" ref="T298">
      <text>
        <t xml:space="preserve">Auxiliar para encontrar la primera cuota pendiente. El 999999 indica que esta cuota no tiene saldo pendiente o está fuera del plazo, y no es una fecha real.</t>
      </text>
    </comment>
    <comment authorId="0" ref="C299">
      <text>
        <t xml:space="preserve">Crédito al que corresponde esta cuota.</t>
      </text>
    </comment>
    <comment authorId="0" ref="D299">
      <text>
        <t xml:space="preserve">Número de cuota dentro del crédito.</t>
      </text>
    </comment>
    <comment authorId="0" ref="E299">
      <text>
        <t xml:space="preserve">Fecha según EDATE a partir del primer vencimiento. No ajusta automáticamente feriados.</t>
      </text>
    </comment>
    <comment authorId="0" ref="F299">
      <text>
        <t xml:space="preserve">Capital al inicio del período en el calendario ORIGINAL, sin recalcular por pagos reales.</t>
      </text>
    </comment>
    <comment authorId="0" ref="G299">
      <text>
        <t xml:space="preserve">Tasa efectiva del mes según la base ingresada.</t>
      </text>
    </comment>
    <comment authorId="0" ref="H299">
      <text>
        <t xml:space="preserve">Interés del período = capital inicial × tasa mensual, redondeado a dos decimales.</t>
      </text>
    </comment>
    <comment authorId="0" ref="I299">
      <text>
        <t xml:space="preserve">Capital e interés pactados. La última cuota ajusta el saldo por redondeo.</t>
      </text>
    </comment>
    <comment authorId="0" ref="J299">
      <text>
        <t xml:space="preserve">Capital amortizado TEÓRICO = cuota base − interés, limitado al saldo.</t>
      </text>
    </comment>
    <comment authorId="0" ref="K299">
      <text>
        <t xml:space="preserve">Seguro y otros cargos fijos del mes.</t>
      </text>
    </comment>
    <comment authorId="0" ref="L299">
      <text>
        <t xml:space="preserve">Cuota base + cargos.</t>
      </text>
    </comment>
    <comment authorId="0" ref="M299">
      <text>
        <t xml:space="preserve">Capital final del calendario teórico. No equivale al saldo real si hay pagos parciales o atrasos.</t>
      </text>
    </comment>
    <comment authorId="0" ref="N299">
      <text>
        <t xml:space="preserve">Suma de pagos válidos del mismo ID y cuota con fecha igual o anterior al corte.</t>
      </text>
    </comment>
    <comment authorId="0" ref="O299">
      <text>
        <t xml:space="preserve">MIN(amortización pactada; MAX(0; pagado − cargos − interés)). No imputa excedentes a otras cuotas.</t>
      </text>
    </comment>
    <comment authorId="0" ref="P299">
      <text>
        <t xml:space="preserve">MAX(0; total pactado − pagado a esta cuota). Incluye capital, interés y cargos pendientes de ESA cuota.</t>
      </text>
    </comment>
    <comment authorId="0" ref="Q299">
      <text>
        <t xml:space="preserve">Días desde vencimiento hasta corte, solo si venció antes del corte y sigue con saldo.</t>
      </text>
    </comment>
    <comment authorId="0" ref="R299">
      <text>
        <t xml:space="preserve">MAX(0; pagado − cuota pactada). Exceso para revisar: no se traspasa a otra cuota.</t>
      </text>
    </comment>
    <comment authorId="0" ref="S299">
      <text>
        <t xml:space="preserve">Pagada, Vencida, Vence hoy, Por vencer o Exceso sin imputar según fecha y saldo al corte.</t>
      </text>
    </comment>
    <comment authorId="0" ref="T299">
      <text>
        <t xml:space="preserve">Auxiliar para encontrar la primera cuota pendiente. El 999999 indica que esta cuota no tiene saldo pendiente o está fuera del plazo, y no es una fecha real.</t>
      </text>
    </comment>
    <comment authorId="0" ref="C300">
      <text>
        <t xml:space="preserve">Crédito al que corresponde esta cuota.</t>
      </text>
    </comment>
    <comment authorId="0" ref="D300">
      <text>
        <t xml:space="preserve">Número de cuota dentro del crédito.</t>
      </text>
    </comment>
    <comment authorId="0" ref="E300">
      <text>
        <t xml:space="preserve">Fecha según EDATE a partir del primer vencimiento. No ajusta automáticamente feriados.</t>
      </text>
    </comment>
    <comment authorId="0" ref="F300">
      <text>
        <t xml:space="preserve">Capital al inicio del período en el calendario ORIGINAL, sin recalcular por pagos reales.</t>
      </text>
    </comment>
    <comment authorId="0" ref="G300">
      <text>
        <t xml:space="preserve">Tasa efectiva del mes según la base ingresada.</t>
      </text>
    </comment>
    <comment authorId="0" ref="H300">
      <text>
        <t xml:space="preserve">Interés del período = capital inicial × tasa mensual, redondeado a dos decimales.</t>
      </text>
    </comment>
    <comment authorId="0" ref="I300">
      <text>
        <t xml:space="preserve">Capital e interés pactados. La última cuota ajusta el saldo por redondeo.</t>
      </text>
    </comment>
    <comment authorId="0" ref="J300">
      <text>
        <t xml:space="preserve">Capital amortizado TEÓRICO = cuota base − interés, limitado al saldo.</t>
      </text>
    </comment>
    <comment authorId="0" ref="K300">
      <text>
        <t xml:space="preserve">Seguro y otros cargos fijos del mes.</t>
      </text>
    </comment>
    <comment authorId="0" ref="L300">
      <text>
        <t xml:space="preserve">Cuota base + cargos.</t>
      </text>
    </comment>
    <comment authorId="0" ref="M300">
      <text>
        <t xml:space="preserve">Capital final del calendario teórico. No equivale al saldo real si hay pagos parciales o atrasos.</t>
      </text>
    </comment>
    <comment authorId="0" ref="N300">
      <text>
        <t xml:space="preserve">Suma de pagos válidos del mismo ID y cuota con fecha igual o anterior al corte.</t>
      </text>
    </comment>
    <comment authorId="0" ref="O300">
      <text>
        <t xml:space="preserve">MIN(amortización pactada; MAX(0; pagado − cargos − interés)). No imputa excedentes a otras cuotas.</t>
      </text>
    </comment>
    <comment authorId="0" ref="P300">
      <text>
        <t xml:space="preserve">MAX(0; total pactado − pagado a esta cuota). Incluye capital, interés y cargos pendientes de ESA cuota.</t>
      </text>
    </comment>
    <comment authorId="0" ref="Q300">
      <text>
        <t xml:space="preserve">Días desde vencimiento hasta corte, solo si venció antes del corte y sigue con saldo.</t>
      </text>
    </comment>
    <comment authorId="0" ref="R300">
      <text>
        <t xml:space="preserve">MAX(0; pagado − cuota pactada). Exceso para revisar: no se traspasa a otra cuota.</t>
      </text>
    </comment>
    <comment authorId="0" ref="S300">
      <text>
        <t xml:space="preserve">Pagada, Vencida, Vence hoy, Por vencer o Exceso sin imputar según fecha y saldo al corte.</t>
      </text>
    </comment>
    <comment authorId="0" ref="T300">
      <text>
        <t xml:space="preserve">Auxiliar para encontrar la primera cuota pendiente. El 999999 indica que esta cuota no tiene saldo pendiente o está fuera del plazo, y no es una fecha real.</t>
      </text>
    </comment>
    <comment authorId="0" ref="C301">
      <text>
        <t xml:space="preserve">Crédito al que corresponde esta cuota.</t>
      </text>
    </comment>
    <comment authorId="0" ref="D301">
      <text>
        <t xml:space="preserve">Número de cuota dentro del crédito.</t>
      </text>
    </comment>
    <comment authorId="0" ref="E301">
      <text>
        <t xml:space="preserve">Fecha según EDATE a partir del primer vencimiento. No ajusta automáticamente feriados.</t>
      </text>
    </comment>
    <comment authorId="0" ref="F301">
      <text>
        <t xml:space="preserve">Capital al inicio del período en el calendario ORIGINAL, sin recalcular por pagos reales.</t>
      </text>
    </comment>
    <comment authorId="0" ref="G301">
      <text>
        <t xml:space="preserve">Tasa efectiva del mes según la base ingresada.</t>
      </text>
    </comment>
    <comment authorId="0" ref="H301">
      <text>
        <t xml:space="preserve">Interés del período = capital inicial × tasa mensual, redondeado a dos decimales.</t>
      </text>
    </comment>
    <comment authorId="0" ref="I301">
      <text>
        <t xml:space="preserve">Capital e interés pactados. La última cuota ajusta el saldo por redondeo.</t>
      </text>
    </comment>
    <comment authorId="0" ref="J301">
      <text>
        <t xml:space="preserve">Capital amortizado TEÓRICO = cuota base − interés, limitado al saldo.</t>
      </text>
    </comment>
    <comment authorId="0" ref="K301">
      <text>
        <t xml:space="preserve">Seguro y otros cargos fijos del mes.</t>
      </text>
    </comment>
    <comment authorId="0" ref="L301">
      <text>
        <t xml:space="preserve">Cuota base + cargos.</t>
      </text>
    </comment>
    <comment authorId="0" ref="M301">
      <text>
        <t xml:space="preserve">Capital final del calendario teórico. No equivale al saldo real si hay pagos parciales o atrasos.</t>
      </text>
    </comment>
    <comment authorId="0" ref="N301">
      <text>
        <t xml:space="preserve">Suma de pagos válidos del mismo ID y cuota con fecha igual o anterior al corte.</t>
      </text>
    </comment>
    <comment authorId="0" ref="O301">
      <text>
        <t xml:space="preserve">MIN(amortización pactada; MAX(0; pagado − cargos − interés)). No imputa excedentes a otras cuotas.</t>
      </text>
    </comment>
    <comment authorId="0" ref="P301">
      <text>
        <t xml:space="preserve">MAX(0; total pactado − pagado a esta cuota). Incluye capital, interés y cargos pendientes de ESA cuota.</t>
      </text>
    </comment>
    <comment authorId="0" ref="Q301">
      <text>
        <t xml:space="preserve">Días desde vencimiento hasta corte, solo si venció antes del corte y sigue con saldo.</t>
      </text>
    </comment>
    <comment authorId="0" ref="R301">
      <text>
        <t xml:space="preserve">MAX(0; pagado − cuota pactada). Exceso para revisar: no se traspasa a otra cuota.</t>
      </text>
    </comment>
    <comment authorId="0" ref="S301">
      <text>
        <t xml:space="preserve">Pagada, Vencida, Vence hoy, Por vencer o Exceso sin imputar según fecha y saldo al corte.</t>
      </text>
    </comment>
    <comment authorId="0" ref="T301">
      <text>
        <t xml:space="preserve">Auxiliar para encontrar la primera cuota pendiente. El 999999 indica que esta cuota no tiene saldo pendiente o está fuera del plazo, y no es una fecha real.</t>
      </text>
    </comment>
    <comment authorId="0" ref="C302">
      <text>
        <t xml:space="preserve">Crédito al que corresponde esta cuota.</t>
      </text>
    </comment>
    <comment authorId="0" ref="D302">
      <text>
        <t xml:space="preserve">Número de cuota dentro del crédito.</t>
      </text>
    </comment>
    <comment authorId="0" ref="E302">
      <text>
        <t xml:space="preserve">Fecha según EDATE a partir del primer vencimiento. No ajusta automáticamente feriados.</t>
      </text>
    </comment>
    <comment authorId="0" ref="F302">
      <text>
        <t xml:space="preserve">Capital al inicio del período en el calendario ORIGINAL, sin recalcular por pagos reales.</t>
      </text>
    </comment>
    <comment authorId="0" ref="G302">
      <text>
        <t xml:space="preserve">Tasa efectiva del mes según la base ingresada.</t>
      </text>
    </comment>
    <comment authorId="0" ref="H302">
      <text>
        <t xml:space="preserve">Interés del período = capital inicial × tasa mensual, redondeado a dos decimales.</t>
      </text>
    </comment>
    <comment authorId="0" ref="I302">
      <text>
        <t xml:space="preserve">Capital e interés pactados. La última cuota ajusta el saldo por redondeo.</t>
      </text>
    </comment>
    <comment authorId="0" ref="J302">
      <text>
        <t xml:space="preserve">Capital amortizado TEÓRICO = cuota base − interés, limitado al saldo.</t>
      </text>
    </comment>
    <comment authorId="0" ref="K302">
      <text>
        <t xml:space="preserve">Seguro y otros cargos fijos del mes.</t>
      </text>
    </comment>
    <comment authorId="0" ref="L302">
      <text>
        <t xml:space="preserve">Cuota base + cargos.</t>
      </text>
    </comment>
    <comment authorId="0" ref="M302">
      <text>
        <t xml:space="preserve">Capital final del calendario teórico. No equivale al saldo real si hay pagos parciales o atrasos.</t>
      </text>
    </comment>
    <comment authorId="0" ref="N302">
      <text>
        <t xml:space="preserve">Suma de pagos válidos del mismo ID y cuota con fecha igual o anterior al corte.</t>
      </text>
    </comment>
    <comment authorId="0" ref="O302">
      <text>
        <t xml:space="preserve">MIN(amortización pactada; MAX(0; pagado − cargos − interés)). No imputa excedentes a otras cuotas.</t>
      </text>
    </comment>
    <comment authorId="0" ref="P302">
      <text>
        <t xml:space="preserve">MAX(0; total pactado − pagado a esta cuota). Incluye capital, interés y cargos pendientes de ESA cuota.</t>
      </text>
    </comment>
    <comment authorId="0" ref="Q302">
      <text>
        <t xml:space="preserve">Días desde vencimiento hasta corte, solo si venció antes del corte y sigue con saldo.</t>
      </text>
    </comment>
    <comment authorId="0" ref="R302">
      <text>
        <t xml:space="preserve">MAX(0; pagado − cuota pactada). Exceso para revisar: no se traspasa a otra cuota.</t>
      </text>
    </comment>
    <comment authorId="0" ref="S302">
      <text>
        <t xml:space="preserve">Pagada, Vencida, Vence hoy, Por vencer o Exceso sin imputar según fecha y saldo al corte.</t>
      </text>
    </comment>
    <comment authorId="0" ref="T302">
      <text>
        <t xml:space="preserve">Auxiliar para encontrar la primera cuota pendiente. El 999999 indica que esta cuota no tiene saldo pendiente o está fuera del plazo, y no es una fecha real.</t>
      </text>
    </comment>
    <comment authorId="0" ref="C303">
      <text>
        <t xml:space="preserve">Crédito al que corresponde esta cuota.</t>
      </text>
    </comment>
    <comment authorId="0" ref="D303">
      <text>
        <t xml:space="preserve">Número de cuota dentro del crédito.</t>
      </text>
    </comment>
    <comment authorId="0" ref="E303">
      <text>
        <t xml:space="preserve">Fecha según EDATE a partir del primer vencimiento. No ajusta automáticamente feriados.</t>
      </text>
    </comment>
    <comment authorId="0" ref="F303">
      <text>
        <t xml:space="preserve">Capital al inicio del período en el calendario ORIGINAL, sin recalcular por pagos reales.</t>
      </text>
    </comment>
    <comment authorId="0" ref="G303">
      <text>
        <t xml:space="preserve">Tasa efectiva del mes según la base ingresada.</t>
      </text>
    </comment>
    <comment authorId="0" ref="H303">
      <text>
        <t xml:space="preserve">Interés del período = capital inicial × tasa mensual, redondeado a dos decimales.</t>
      </text>
    </comment>
    <comment authorId="0" ref="I303">
      <text>
        <t xml:space="preserve">Capital e interés pactados. La última cuota ajusta el saldo por redondeo.</t>
      </text>
    </comment>
    <comment authorId="0" ref="J303">
      <text>
        <t xml:space="preserve">Capital amortizado TEÓRICO = cuota base − interés, limitado al saldo.</t>
      </text>
    </comment>
    <comment authorId="0" ref="K303">
      <text>
        <t xml:space="preserve">Seguro y otros cargos fijos del mes.</t>
      </text>
    </comment>
    <comment authorId="0" ref="L303">
      <text>
        <t xml:space="preserve">Cuota base + cargos.</t>
      </text>
    </comment>
    <comment authorId="0" ref="M303">
      <text>
        <t xml:space="preserve">Capital final del calendario teórico. No equivale al saldo real si hay pagos parciales o atrasos.</t>
      </text>
    </comment>
    <comment authorId="0" ref="N303">
      <text>
        <t xml:space="preserve">Suma de pagos válidos del mismo ID y cuota con fecha igual o anterior al corte.</t>
      </text>
    </comment>
    <comment authorId="0" ref="O303">
      <text>
        <t xml:space="preserve">MIN(amortización pactada; MAX(0; pagado − cargos − interés)). No imputa excedentes a otras cuotas.</t>
      </text>
    </comment>
    <comment authorId="0" ref="P303">
      <text>
        <t xml:space="preserve">MAX(0; total pactado − pagado a esta cuota). Incluye capital, interés y cargos pendientes de ESA cuota.</t>
      </text>
    </comment>
    <comment authorId="0" ref="Q303">
      <text>
        <t xml:space="preserve">Días desde vencimiento hasta corte, solo si venció antes del corte y sigue con saldo.</t>
      </text>
    </comment>
    <comment authorId="0" ref="R303">
      <text>
        <t xml:space="preserve">MAX(0; pagado − cuota pactada). Exceso para revisar: no se traspasa a otra cuota.</t>
      </text>
    </comment>
    <comment authorId="0" ref="S303">
      <text>
        <t xml:space="preserve">Pagada, Vencida, Vence hoy, Por vencer o Exceso sin imputar según fecha y saldo al corte.</t>
      </text>
    </comment>
    <comment authorId="0" ref="T303">
      <text>
        <t xml:space="preserve">Auxiliar para encontrar la primera cuota pendiente. El 999999 indica que esta cuota no tiene saldo pendiente o está fuera del plazo, y no es una fecha real.</t>
      </text>
    </comment>
    <comment authorId="0" ref="C304">
      <text>
        <t xml:space="preserve">Crédito al que corresponde esta cuota.</t>
      </text>
    </comment>
    <comment authorId="0" ref="D304">
      <text>
        <t xml:space="preserve">Número de cuota dentro del crédito.</t>
      </text>
    </comment>
    <comment authorId="0" ref="E304">
      <text>
        <t xml:space="preserve">Fecha según EDATE a partir del primer vencimiento. No ajusta automáticamente feriados.</t>
      </text>
    </comment>
    <comment authorId="0" ref="F304">
      <text>
        <t xml:space="preserve">Capital al inicio del período en el calendario ORIGINAL, sin recalcular por pagos reales.</t>
      </text>
    </comment>
    <comment authorId="0" ref="G304">
      <text>
        <t xml:space="preserve">Tasa efectiva del mes según la base ingresada.</t>
      </text>
    </comment>
    <comment authorId="0" ref="H304">
      <text>
        <t xml:space="preserve">Interés del período = capital inicial × tasa mensual, redondeado a dos decimales.</t>
      </text>
    </comment>
    <comment authorId="0" ref="I304">
      <text>
        <t xml:space="preserve">Capital e interés pactados. La última cuota ajusta el saldo por redondeo.</t>
      </text>
    </comment>
    <comment authorId="0" ref="J304">
      <text>
        <t xml:space="preserve">Capital amortizado TEÓRICO = cuota base − interés, limitado al saldo.</t>
      </text>
    </comment>
    <comment authorId="0" ref="K304">
      <text>
        <t xml:space="preserve">Seguro y otros cargos fijos del mes.</t>
      </text>
    </comment>
    <comment authorId="0" ref="L304">
      <text>
        <t xml:space="preserve">Cuota base + cargos.</t>
      </text>
    </comment>
    <comment authorId="0" ref="M304">
      <text>
        <t xml:space="preserve">Capital final del calendario teórico. No equivale al saldo real si hay pagos parciales o atrasos.</t>
      </text>
    </comment>
    <comment authorId="0" ref="N304">
      <text>
        <t xml:space="preserve">Suma de pagos válidos del mismo ID y cuota con fecha igual o anterior al corte.</t>
      </text>
    </comment>
    <comment authorId="0" ref="O304">
      <text>
        <t xml:space="preserve">MIN(amortización pactada; MAX(0; pagado − cargos − interés)). No imputa excedentes a otras cuotas.</t>
      </text>
    </comment>
    <comment authorId="0" ref="P304">
      <text>
        <t xml:space="preserve">MAX(0; total pactado − pagado a esta cuota). Incluye capital, interés y cargos pendientes de ESA cuota.</t>
      </text>
    </comment>
    <comment authorId="0" ref="Q304">
      <text>
        <t xml:space="preserve">Días desde vencimiento hasta corte, solo si venció antes del corte y sigue con saldo.</t>
      </text>
    </comment>
    <comment authorId="0" ref="R304">
      <text>
        <t xml:space="preserve">MAX(0; pagado − cuota pactada). Exceso para revisar: no se traspasa a otra cuota.</t>
      </text>
    </comment>
    <comment authorId="0" ref="S304">
      <text>
        <t xml:space="preserve">Pagada, Vencida, Vence hoy, Por vencer o Exceso sin imputar según fecha y saldo al corte.</t>
      </text>
    </comment>
    <comment authorId="0" ref="T304">
      <text>
        <t xml:space="preserve">Auxiliar para encontrar la primera cuota pendiente. El 999999 indica que esta cuota no tiene saldo pendiente o está fuera del plazo, y no es una fecha real.</t>
      </text>
    </comment>
    <comment authorId="0" ref="C305">
      <text>
        <t xml:space="preserve">Crédito al que corresponde esta cuota.</t>
      </text>
    </comment>
    <comment authorId="0" ref="D305">
      <text>
        <t xml:space="preserve">Número de cuota dentro del crédito.</t>
      </text>
    </comment>
    <comment authorId="0" ref="E305">
      <text>
        <t xml:space="preserve">Fecha según EDATE a partir del primer vencimiento. No ajusta automáticamente feriados.</t>
      </text>
    </comment>
    <comment authorId="0" ref="F305">
      <text>
        <t xml:space="preserve">Capital al inicio del período en el calendario ORIGINAL, sin recalcular por pagos reales.</t>
      </text>
    </comment>
    <comment authorId="0" ref="G305">
      <text>
        <t xml:space="preserve">Tasa efectiva del mes según la base ingresada.</t>
      </text>
    </comment>
    <comment authorId="0" ref="H305">
      <text>
        <t xml:space="preserve">Interés del período = capital inicial × tasa mensual, redondeado a dos decimales.</t>
      </text>
    </comment>
    <comment authorId="0" ref="I305">
      <text>
        <t xml:space="preserve">Capital e interés pactados. La última cuota ajusta el saldo por redondeo.</t>
      </text>
    </comment>
    <comment authorId="0" ref="J305">
      <text>
        <t xml:space="preserve">Capital amortizado TEÓRICO = cuota base − interés, limitado al saldo.</t>
      </text>
    </comment>
    <comment authorId="0" ref="K305">
      <text>
        <t xml:space="preserve">Seguro y otros cargos fijos del mes.</t>
      </text>
    </comment>
    <comment authorId="0" ref="L305">
      <text>
        <t xml:space="preserve">Cuota base + cargos.</t>
      </text>
    </comment>
    <comment authorId="0" ref="M305">
      <text>
        <t xml:space="preserve">Capital final del calendario teórico. No equivale al saldo real si hay pagos parciales o atrasos.</t>
      </text>
    </comment>
    <comment authorId="0" ref="N305">
      <text>
        <t xml:space="preserve">Suma de pagos válidos del mismo ID y cuota con fecha igual o anterior al corte.</t>
      </text>
    </comment>
    <comment authorId="0" ref="O305">
      <text>
        <t xml:space="preserve">MIN(amortización pactada; MAX(0; pagado − cargos − interés)). No imputa excedentes a otras cuotas.</t>
      </text>
    </comment>
    <comment authorId="0" ref="P305">
      <text>
        <t xml:space="preserve">MAX(0; total pactado − pagado a esta cuota). Incluye capital, interés y cargos pendientes de ESA cuota.</t>
      </text>
    </comment>
    <comment authorId="0" ref="Q305">
      <text>
        <t xml:space="preserve">Días desde vencimiento hasta corte, solo si venció antes del corte y sigue con saldo.</t>
      </text>
    </comment>
    <comment authorId="0" ref="R305">
      <text>
        <t xml:space="preserve">MAX(0; pagado − cuota pactada). Exceso para revisar: no se traspasa a otra cuota.</t>
      </text>
    </comment>
    <comment authorId="0" ref="S305">
      <text>
        <t xml:space="preserve">Pagada, Vencida, Vence hoy, Por vencer o Exceso sin imputar según fecha y saldo al corte.</t>
      </text>
    </comment>
    <comment authorId="0" ref="T305">
      <text>
        <t xml:space="preserve">Auxiliar para encontrar la primera cuota pendiente. El 999999 indica que esta cuota no tiene saldo pendiente o está fuera del plazo, y no es una fecha real.</t>
      </text>
    </comment>
    <comment authorId="0" ref="C306">
      <text>
        <t xml:space="preserve">Crédito al que corresponde esta cuota.</t>
      </text>
    </comment>
    <comment authorId="0" ref="D306">
      <text>
        <t xml:space="preserve">Número de cuota dentro del crédito.</t>
      </text>
    </comment>
    <comment authorId="0" ref="E306">
      <text>
        <t xml:space="preserve">Fecha según EDATE a partir del primer vencimiento. No ajusta automáticamente feriados.</t>
      </text>
    </comment>
    <comment authorId="0" ref="F306">
      <text>
        <t xml:space="preserve">Capital al inicio del período en el calendario ORIGINAL, sin recalcular por pagos reales.</t>
      </text>
    </comment>
    <comment authorId="0" ref="G306">
      <text>
        <t xml:space="preserve">Tasa efectiva del mes según la base ingresada.</t>
      </text>
    </comment>
    <comment authorId="0" ref="H306">
      <text>
        <t xml:space="preserve">Interés del período = capital inicial × tasa mensual, redondeado a dos decimales.</t>
      </text>
    </comment>
    <comment authorId="0" ref="I306">
      <text>
        <t xml:space="preserve">Capital e interés pactados. La última cuota ajusta el saldo por redondeo.</t>
      </text>
    </comment>
    <comment authorId="0" ref="J306">
      <text>
        <t xml:space="preserve">Capital amortizado TEÓRICO = cuota base − interés, limitado al saldo.</t>
      </text>
    </comment>
    <comment authorId="0" ref="K306">
      <text>
        <t xml:space="preserve">Seguro y otros cargos fijos del mes.</t>
      </text>
    </comment>
    <comment authorId="0" ref="L306">
      <text>
        <t xml:space="preserve">Cuota base + cargos.</t>
      </text>
    </comment>
    <comment authorId="0" ref="M306">
      <text>
        <t xml:space="preserve">Capital final del calendario teórico. No equivale al saldo real si hay pagos parciales o atrasos.</t>
      </text>
    </comment>
    <comment authorId="0" ref="N306">
      <text>
        <t xml:space="preserve">Suma de pagos válidos del mismo ID y cuota con fecha igual o anterior al corte.</t>
      </text>
    </comment>
    <comment authorId="0" ref="O306">
      <text>
        <t xml:space="preserve">MIN(amortización pactada; MAX(0; pagado − cargos − interés)). No imputa excedentes a otras cuotas.</t>
      </text>
    </comment>
    <comment authorId="0" ref="P306">
      <text>
        <t xml:space="preserve">MAX(0; total pactado − pagado a esta cuota). Incluye capital, interés y cargos pendientes de ESA cuota.</t>
      </text>
    </comment>
    <comment authorId="0" ref="Q306">
      <text>
        <t xml:space="preserve">Días desde vencimiento hasta corte, solo si venció antes del corte y sigue con saldo.</t>
      </text>
    </comment>
    <comment authorId="0" ref="R306">
      <text>
        <t xml:space="preserve">MAX(0; pagado − cuota pactada). Exceso para revisar: no se traspasa a otra cuota.</t>
      </text>
    </comment>
    <comment authorId="0" ref="S306">
      <text>
        <t xml:space="preserve">Pagada, Vencida, Vence hoy, Por vencer o Exceso sin imputar según fecha y saldo al corte.</t>
      </text>
    </comment>
    <comment authorId="0" ref="T306">
      <text>
        <t xml:space="preserve">Auxiliar para encontrar la primera cuota pendiente. El 999999 indica que esta cuota no tiene saldo pendiente o está fuera del plazo, y no es una fecha real.</t>
      </text>
    </comment>
    <comment authorId="0" ref="C307">
      <text>
        <t xml:space="preserve">Crédito al que corresponde esta cuota.</t>
      </text>
    </comment>
    <comment authorId="0" ref="D307">
      <text>
        <t xml:space="preserve">Número de cuota dentro del crédito.</t>
      </text>
    </comment>
    <comment authorId="0" ref="E307">
      <text>
        <t xml:space="preserve">Fecha según EDATE a partir del primer vencimiento. No ajusta automáticamente feriados.</t>
      </text>
    </comment>
    <comment authorId="0" ref="F307">
      <text>
        <t xml:space="preserve">Capital al inicio del período en el calendario ORIGINAL, sin recalcular por pagos reales.</t>
      </text>
    </comment>
    <comment authorId="0" ref="G307">
      <text>
        <t xml:space="preserve">Tasa efectiva del mes según la base ingresada.</t>
      </text>
    </comment>
    <comment authorId="0" ref="H307">
      <text>
        <t xml:space="preserve">Interés del período = capital inicial × tasa mensual, redondeado a dos decimales.</t>
      </text>
    </comment>
    <comment authorId="0" ref="I307">
      <text>
        <t xml:space="preserve">Capital e interés pactados. La última cuota ajusta el saldo por redondeo.</t>
      </text>
    </comment>
    <comment authorId="0" ref="J307">
      <text>
        <t xml:space="preserve">Capital amortizado TEÓRICO = cuota base − interés, limitado al saldo.</t>
      </text>
    </comment>
    <comment authorId="0" ref="K307">
      <text>
        <t xml:space="preserve">Seguro y otros cargos fijos del mes.</t>
      </text>
    </comment>
    <comment authorId="0" ref="L307">
      <text>
        <t xml:space="preserve">Cuota base + cargos.</t>
      </text>
    </comment>
    <comment authorId="0" ref="M307">
      <text>
        <t xml:space="preserve">Capital final del calendario teórico. No equivale al saldo real si hay pagos parciales o atrasos.</t>
      </text>
    </comment>
    <comment authorId="0" ref="N307">
      <text>
        <t xml:space="preserve">Suma de pagos válidos del mismo ID y cuota con fecha igual o anterior al corte.</t>
      </text>
    </comment>
    <comment authorId="0" ref="O307">
      <text>
        <t xml:space="preserve">MIN(amortización pactada; MAX(0; pagado − cargos − interés)). No imputa excedentes a otras cuotas.</t>
      </text>
    </comment>
    <comment authorId="0" ref="P307">
      <text>
        <t xml:space="preserve">MAX(0; total pactado − pagado a esta cuota). Incluye capital, interés y cargos pendientes de ESA cuota.</t>
      </text>
    </comment>
    <comment authorId="0" ref="Q307">
      <text>
        <t xml:space="preserve">Días desde vencimiento hasta corte, solo si venció antes del corte y sigue con saldo.</t>
      </text>
    </comment>
    <comment authorId="0" ref="R307">
      <text>
        <t xml:space="preserve">MAX(0; pagado − cuota pactada). Exceso para revisar: no se traspasa a otra cuota.</t>
      </text>
    </comment>
    <comment authorId="0" ref="S307">
      <text>
        <t xml:space="preserve">Pagada, Vencida, Vence hoy, Por vencer o Exceso sin imputar según fecha y saldo al corte.</t>
      </text>
    </comment>
    <comment authorId="0" ref="T307">
      <text>
        <t xml:space="preserve">Auxiliar para encontrar la primera cuota pendiente. El 999999 indica que esta cuota no tiene saldo pendiente o está fuera del plazo, y no es una fecha real.</t>
      </text>
    </comment>
    <comment authorId="0" ref="C308">
      <text>
        <t xml:space="preserve">Crédito al que corresponde esta cuota.</t>
      </text>
    </comment>
    <comment authorId="0" ref="D308">
      <text>
        <t xml:space="preserve">Número de cuota dentro del crédito.</t>
      </text>
    </comment>
    <comment authorId="0" ref="E308">
      <text>
        <t xml:space="preserve">Fecha según EDATE a partir del primer vencimiento. No ajusta automáticamente feriados.</t>
      </text>
    </comment>
    <comment authorId="0" ref="F308">
      <text>
        <t xml:space="preserve">Capital al inicio del período en el calendario ORIGINAL, sin recalcular por pagos reales.</t>
      </text>
    </comment>
    <comment authorId="0" ref="G308">
      <text>
        <t xml:space="preserve">Tasa efectiva del mes según la base ingresada.</t>
      </text>
    </comment>
    <comment authorId="0" ref="H308">
      <text>
        <t xml:space="preserve">Interés del período = capital inicial × tasa mensual, redondeado a dos decimales.</t>
      </text>
    </comment>
    <comment authorId="0" ref="I308">
      <text>
        <t xml:space="preserve">Capital e interés pactados. La última cuota ajusta el saldo por redondeo.</t>
      </text>
    </comment>
    <comment authorId="0" ref="J308">
      <text>
        <t xml:space="preserve">Capital amortizado TEÓRICO = cuota base − interés, limitado al saldo.</t>
      </text>
    </comment>
    <comment authorId="0" ref="K308">
      <text>
        <t xml:space="preserve">Seguro y otros cargos fijos del mes.</t>
      </text>
    </comment>
    <comment authorId="0" ref="L308">
      <text>
        <t xml:space="preserve">Cuota base + cargos.</t>
      </text>
    </comment>
    <comment authorId="0" ref="M308">
      <text>
        <t xml:space="preserve">Capital final del calendario teórico. No equivale al saldo real si hay pagos parciales o atrasos.</t>
      </text>
    </comment>
    <comment authorId="0" ref="N308">
      <text>
        <t xml:space="preserve">Suma de pagos válidos del mismo ID y cuota con fecha igual o anterior al corte.</t>
      </text>
    </comment>
    <comment authorId="0" ref="O308">
      <text>
        <t xml:space="preserve">MIN(amortización pactada; MAX(0; pagado − cargos − interés)). No imputa excedentes a otras cuotas.</t>
      </text>
    </comment>
    <comment authorId="0" ref="P308">
      <text>
        <t xml:space="preserve">MAX(0; total pactado − pagado a esta cuota). Incluye capital, interés y cargos pendientes de ESA cuota.</t>
      </text>
    </comment>
    <comment authorId="0" ref="Q308">
      <text>
        <t xml:space="preserve">Días desde vencimiento hasta corte, solo si venció antes del corte y sigue con saldo.</t>
      </text>
    </comment>
    <comment authorId="0" ref="R308">
      <text>
        <t xml:space="preserve">MAX(0; pagado − cuota pactada). Exceso para revisar: no se traspasa a otra cuota.</t>
      </text>
    </comment>
    <comment authorId="0" ref="S308">
      <text>
        <t xml:space="preserve">Pagada, Vencida, Vence hoy, Por vencer o Exceso sin imputar según fecha y saldo al corte.</t>
      </text>
    </comment>
    <comment authorId="0" ref="T308">
      <text>
        <t xml:space="preserve">Auxiliar para encontrar la primera cuota pendiente. El 999999 indica que esta cuota no tiene saldo pendiente o está fuera del plazo, y no es una fecha real.</t>
      </text>
    </comment>
    <comment authorId="0" ref="C309">
      <text>
        <t xml:space="preserve">Crédito al que corresponde esta cuota.</t>
      </text>
    </comment>
    <comment authorId="0" ref="D309">
      <text>
        <t xml:space="preserve">Número de cuota dentro del crédito.</t>
      </text>
    </comment>
    <comment authorId="0" ref="E309">
      <text>
        <t xml:space="preserve">Fecha según EDATE a partir del primer vencimiento. No ajusta automáticamente feriados.</t>
      </text>
    </comment>
    <comment authorId="0" ref="F309">
      <text>
        <t xml:space="preserve">Capital al inicio del período en el calendario ORIGINAL, sin recalcular por pagos reales.</t>
      </text>
    </comment>
    <comment authorId="0" ref="G309">
      <text>
        <t xml:space="preserve">Tasa efectiva del mes según la base ingresada.</t>
      </text>
    </comment>
    <comment authorId="0" ref="H309">
      <text>
        <t xml:space="preserve">Interés del período = capital inicial × tasa mensual, redondeado a dos decimales.</t>
      </text>
    </comment>
    <comment authorId="0" ref="I309">
      <text>
        <t xml:space="preserve">Capital e interés pactados. La última cuota ajusta el saldo por redondeo.</t>
      </text>
    </comment>
    <comment authorId="0" ref="J309">
      <text>
        <t xml:space="preserve">Capital amortizado TEÓRICO = cuota base − interés, limitado al saldo.</t>
      </text>
    </comment>
    <comment authorId="0" ref="K309">
      <text>
        <t xml:space="preserve">Seguro y otros cargos fijos del mes.</t>
      </text>
    </comment>
    <comment authorId="0" ref="L309">
      <text>
        <t xml:space="preserve">Cuota base + cargos.</t>
      </text>
    </comment>
    <comment authorId="0" ref="M309">
      <text>
        <t xml:space="preserve">Capital final del calendario teórico. No equivale al saldo real si hay pagos parciales o atrasos.</t>
      </text>
    </comment>
    <comment authorId="0" ref="N309">
      <text>
        <t xml:space="preserve">Suma de pagos válidos del mismo ID y cuota con fecha igual o anterior al corte.</t>
      </text>
    </comment>
    <comment authorId="0" ref="O309">
      <text>
        <t xml:space="preserve">MIN(amortización pactada; MAX(0; pagado − cargos − interés)). No imputa excedentes a otras cuotas.</t>
      </text>
    </comment>
    <comment authorId="0" ref="P309">
      <text>
        <t xml:space="preserve">MAX(0; total pactado − pagado a esta cuota). Incluye capital, interés y cargos pendientes de ESA cuota.</t>
      </text>
    </comment>
    <comment authorId="0" ref="Q309">
      <text>
        <t xml:space="preserve">Días desde vencimiento hasta corte, solo si venció antes del corte y sigue con saldo.</t>
      </text>
    </comment>
    <comment authorId="0" ref="R309">
      <text>
        <t xml:space="preserve">MAX(0; pagado − cuota pactada). Exceso para revisar: no se traspasa a otra cuota.</t>
      </text>
    </comment>
    <comment authorId="0" ref="S309">
      <text>
        <t xml:space="preserve">Pagada, Vencida, Vence hoy, Por vencer o Exceso sin imputar según fecha y saldo al corte.</t>
      </text>
    </comment>
    <comment authorId="0" ref="T309">
      <text>
        <t xml:space="preserve">Auxiliar para encontrar la primera cuota pendiente. El 999999 indica que esta cuota no tiene saldo pendiente o está fuera del plazo, y no es una fecha real.</t>
      </text>
    </comment>
    <comment authorId="0" ref="C310">
      <text>
        <t xml:space="preserve">Crédito al que corresponde esta cuota.</t>
      </text>
    </comment>
    <comment authorId="0" ref="D310">
      <text>
        <t xml:space="preserve">Número de cuota dentro del crédito.</t>
      </text>
    </comment>
    <comment authorId="0" ref="E310">
      <text>
        <t xml:space="preserve">Fecha según EDATE a partir del primer vencimiento. No ajusta automáticamente feriados.</t>
      </text>
    </comment>
    <comment authorId="0" ref="F310">
      <text>
        <t xml:space="preserve">Capital al inicio del período en el calendario ORIGINAL, sin recalcular por pagos reales.</t>
      </text>
    </comment>
    <comment authorId="0" ref="G310">
      <text>
        <t xml:space="preserve">Tasa efectiva del mes según la base ingresada.</t>
      </text>
    </comment>
    <comment authorId="0" ref="H310">
      <text>
        <t xml:space="preserve">Interés del período = capital inicial × tasa mensual, redondeado a dos decimales.</t>
      </text>
    </comment>
    <comment authorId="0" ref="I310">
      <text>
        <t xml:space="preserve">Capital e interés pactados. La última cuota ajusta el saldo por redondeo.</t>
      </text>
    </comment>
    <comment authorId="0" ref="J310">
      <text>
        <t xml:space="preserve">Capital amortizado TEÓRICO = cuota base − interés, limitado al saldo.</t>
      </text>
    </comment>
    <comment authorId="0" ref="K310">
      <text>
        <t xml:space="preserve">Seguro y otros cargos fijos del mes.</t>
      </text>
    </comment>
    <comment authorId="0" ref="L310">
      <text>
        <t xml:space="preserve">Cuota base + cargos.</t>
      </text>
    </comment>
    <comment authorId="0" ref="M310">
      <text>
        <t xml:space="preserve">Capital final del calendario teórico. No equivale al saldo real si hay pagos parciales o atrasos.</t>
      </text>
    </comment>
    <comment authorId="0" ref="N310">
      <text>
        <t xml:space="preserve">Suma de pagos válidos del mismo ID y cuota con fecha igual o anterior al corte.</t>
      </text>
    </comment>
    <comment authorId="0" ref="O310">
      <text>
        <t xml:space="preserve">MIN(amortización pactada; MAX(0; pagado − cargos − interés)). No imputa excedentes a otras cuotas.</t>
      </text>
    </comment>
    <comment authorId="0" ref="P310">
      <text>
        <t xml:space="preserve">MAX(0; total pactado − pagado a esta cuota). Incluye capital, interés y cargos pendientes de ESA cuota.</t>
      </text>
    </comment>
    <comment authorId="0" ref="Q310">
      <text>
        <t xml:space="preserve">Días desde vencimiento hasta corte, solo si venció antes del corte y sigue con saldo.</t>
      </text>
    </comment>
    <comment authorId="0" ref="R310">
      <text>
        <t xml:space="preserve">MAX(0; pagado − cuota pactada). Exceso para revisar: no se traspasa a otra cuota.</t>
      </text>
    </comment>
    <comment authorId="0" ref="S310">
      <text>
        <t xml:space="preserve">Pagada, Vencida, Vence hoy, Por vencer o Exceso sin imputar según fecha y saldo al corte.</t>
      </text>
    </comment>
    <comment authorId="0" ref="T310">
      <text>
        <t xml:space="preserve">Auxiliar para encontrar la primera cuota pendiente. El 999999 indica que esta cuota no tiene saldo pendiente o está fuera del plazo, y no es una fecha real.</t>
      </text>
    </comment>
    <comment authorId="0" ref="C311">
      <text>
        <t xml:space="preserve">Crédito al que corresponde esta cuota.</t>
      </text>
    </comment>
    <comment authorId="0" ref="D311">
      <text>
        <t xml:space="preserve">Número de cuota dentro del crédito.</t>
      </text>
    </comment>
    <comment authorId="0" ref="E311">
      <text>
        <t xml:space="preserve">Fecha según EDATE a partir del primer vencimiento. No ajusta automáticamente feriados.</t>
      </text>
    </comment>
    <comment authorId="0" ref="F311">
      <text>
        <t xml:space="preserve">Capital al inicio del período en el calendario ORIGINAL, sin recalcular por pagos reales.</t>
      </text>
    </comment>
    <comment authorId="0" ref="G311">
      <text>
        <t xml:space="preserve">Tasa efectiva del mes según la base ingresada.</t>
      </text>
    </comment>
    <comment authorId="0" ref="H311">
      <text>
        <t xml:space="preserve">Interés del período = capital inicial × tasa mensual, redondeado a dos decimales.</t>
      </text>
    </comment>
    <comment authorId="0" ref="I311">
      <text>
        <t xml:space="preserve">Capital e interés pactados. La última cuota ajusta el saldo por redondeo.</t>
      </text>
    </comment>
    <comment authorId="0" ref="J311">
      <text>
        <t xml:space="preserve">Capital amortizado TEÓRICO = cuota base − interés, limitado al saldo.</t>
      </text>
    </comment>
    <comment authorId="0" ref="K311">
      <text>
        <t xml:space="preserve">Seguro y otros cargos fijos del mes.</t>
      </text>
    </comment>
    <comment authorId="0" ref="L311">
      <text>
        <t xml:space="preserve">Cuota base + cargos.</t>
      </text>
    </comment>
    <comment authorId="0" ref="M311">
      <text>
        <t xml:space="preserve">Capital final del calendario teórico. No equivale al saldo real si hay pagos parciales o atrasos.</t>
      </text>
    </comment>
    <comment authorId="0" ref="N311">
      <text>
        <t xml:space="preserve">Suma de pagos válidos del mismo ID y cuota con fecha igual o anterior al corte.</t>
      </text>
    </comment>
    <comment authorId="0" ref="O311">
      <text>
        <t xml:space="preserve">MIN(amortización pactada; MAX(0; pagado − cargos − interés)). No imputa excedentes a otras cuotas.</t>
      </text>
    </comment>
    <comment authorId="0" ref="P311">
      <text>
        <t xml:space="preserve">MAX(0; total pactado − pagado a esta cuota). Incluye capital, interés y cargos pendientes de ESA cuota.</t>
      </text>
    </comment>
    <comment authorId="0" ref="Q311">
      <text>
        <t xml:space="preserve">Días desde vencimiento hasta corte, solo si venció antes del corte y sigue con saldo.</t>
      </text>
    </comment>
    <comment authorId="0" ref="R311">
      <text>
        <t xml:space="preserve">MAX(0; pagado − cuota pactada). Exceso para revisar: no se traspasa a otra cuota.</t>
      </text>
    </comment>
    <comment authorId="0" ref="S311">
      <text>
        <t xml:space="preserve">Pagada, Vencida, Vence hoy, Por vencer o Exceso sin imputar según fecha y saldo al corte.</t>
      </text>
    </comment>
    <comment authorId="0" ref="T311">
      <text>
        <t xml:space="preserve">Auxiliar para encontrar la primera cuota pendiente. El 999999 indica que esta cuota no tiene saldo pendiente o está fuera del plazo, y no es una fecha real.</t>
      </text>
    </comment>
    <comment authorId="0" ref="C312">
      <text>
        <t xml:space="preserve">Crédito al que corresponde esta cuota.</t>
      </text>
    </comment>
    <comment authorId="0" ref="D312">
      <text>
        <t xml:space="preserve">Número de cuota dentro del crédito.</t>
      </text>
    </comment>
    <comment authorId="0" ref="E312">
      <text>
        <t xml:space="preserve">Fecha según EDATE a partir del primer vencimiento. No ajusta automáticamente feriados.</t>
      </text>
    </comment>
    <comment authorId="0" ref="F312">
      <text>
        <t xml:space="preserve">Capital al inicio del período en el calendario ORIGINAL, sin recalcular por pagos reales.</t>
      </text>
    </comment>
    <comment authorId="0" ref="G312">
      <text>
        <t xml:space="preserve">Tasa efectiva del mes según la base ingresada.</t>
      </text>
    </comment>
    <comment authorId="0" ref="H312">
      <text>
        <t xml:space="preserve">Interés del período = capital inicial × tasa mensual, redondeado a dos decimales.</t>
      </text>
    </comment>
    <comment authorId="0" ref="I312">
      <text>
        <t xml:space="preserve">Capital e interés pactados. La última cuota ajusta el saldo por redondeo.</t>
      </text>
    </comment>
    <comment authorId="0" ref="J312">
      <text>
        <t xml:space="preserve">Capital amortizado TEÓRICO = cuota base − interés, limitado al saldo.</t>
      </text>
    </comment>
    <comment authorId="0" ref="K312">
      <text>
        <t xml:space="preserve">Seguro y otros cargos fijos del mes.</t>
      </text>
    </comment>
    <comment authorId="0" ref="L312">
      <text>
        <t xml:space="preserve">Cuota base + cargos.</t>
      </text>
    </comment>
    <comment authorId="0" ref="M312">
      <text>
        <t xml:space="preserve">Capital final del calendario teórico. No equivale al saldo real si hay pagos parciales o atrasos.</t>
      </text>
    </comment>
    <comment authorId="0" ref="N312">
      <text>
        <t xml:space="preserve">Suma de pagos válidos del mismo ID y cuota con fecha igual o anterior al corte.</t>
      </text>
    </comment>
    <comment authorId="0" ref="O312">
      <text>
        <t xml:space="preserve">MIN(amortización pactada; MAX(0; pagado − cargos − interés)). No imputa excedentes a otras cuotas.</t>
      </text>
    </comment>
    <comment authorId="0" ref="P312">
      <text>
        <t xml:space="preserve">MAX(0; total pactado − pagado a esta cuota). Incluye capital, interés y cargos pendientes de ESA cuota.</t>
      </text>
    </comment>
    <comment authorId="0" ref="Q312">
      <text>
        <t xml:space="preserve">Días desde vencimiento hasta corte, solo si venció antes del corte y sigue con saldo.</t>
      </text>
    </comment>
    <comment authorId="0" ref="R312">
      <text>
        <t xml:space="preserve">MAX(0; pagado − cuota pactada). Exceso para revisar: no se traspasa a otra cuota.</t>
      </text>
    </comment>
    <comment authorId="0" ref="S312">
      <text>
        <t xml:space="preserve">Pagada, Vencida, Vence hoy, Por vencer o Exceso sin imputar según fecha y saldo al corte.</t>
      </text>
    </comment>
    <comment authorId="0" ref="T312">
      <text>
        <t xml:space="preserve">Auxiliar para encontrar la primera cuota pendiente. El 999999 indica que esta cuota no tiene saldo pendiente o está fuera del plazo, y no es una fecha real.</t>
      </text>
    </comment>
    <comment authorId="0" ref="C313">
      <text>
        <t xml:space="preserve">Crédito al que corresponde esta cuota.</t>
      </text>
    </comment>
    <comment authorId="0" ref="D313">
      <text>
        <t xml:space="preserve">Número de cuota dentro del crédito.</t>
      </text>
    </comment>
    <comment authorId="0" ref="E313">
      <text>
        <t xml:space="preserve">Fecha según EDATE a partir del primer vencimiento. No ajusta automáticamente feriados.</t>
      </text>
    </comment>
    <comment authorId="0" ref="F313">
      <text>
        <t xml:space="preserve">Capital al inicio del período en el calendario ORIGINAL, sin recalcular por pagos reales.</t>
      </text>
    </comment>
    <comment authorId="0" ref="G313">
      <text>
        <t xml:space="preserve">Tasa efectiva del mes según la base ingresada.</t>
      </text>
    </comment>
    <comment authorId="0" ref="H313">
      <text>
        <t xml:space="preserve">Interés del período = capital inicial × tasa mensual, redondeado a dos decimales.</t>
      </text>
    </comment>
    <comment authorId="0" ref="I313">
      <text>
        <t xml:space="preserve">Capital e interés pactados. La última cuota ajusta el saldo por redondeo.</t>
      </text>
    </comment>
    <comment authorId="0" ref="J313">
      <text>
        <t xml:space="preserve">Capital amortizado TEÓRICO = cuota base − interés, limitado al saldo.</t>
      </text>
    </comment>
    <comment authorId="0" ref="K313">
      <text>
        <t xml:space="preserve">Seguro y otros cargos fijos del mes.</t>
      </text>
    </comment>
    <comment authorId="0" ref="L313">
      <text>
        <t xml:space="preserve">Cuota base + cargos.</t>
      </text>
    </comment>
    <comment authorId="0" ref="M313">
      <text>
        <t xml:space="preserve">Capital final del calendario teórico. No equivale al saldo real si hay pagos parciales o atrasos.</t>
      </text>
    </comment>
    <comment authorId="0" ref="N313">
      <text>
        <t xml:space="preserve">Suma de pagos válidos del mismo ID y cuota con fecha igual o anterior al corte.</t>
      </text>
    </comment>
    <comment authorId="0" ref="O313">
      <text>
        <t xml:space="preserve">MIN(amortización pactada; MAX(0; pagado − cargos − interés)). No imputa excedentes a otras cuotas.</t>
      </text>
    </comment>
    <comment authorId="0" ref="P313">
      <text>
        <t xml:space="preserve">MAX(0; total pactado − pagado a esta cuota). Incluye capital, interés y cargos pendientes de ESA cuota.</t>
      </text>
    </comment>
    <comment authorId="0" ref="Q313">
      <text>
        <t xml:space="preserve">Días desde vencimiento hasta corte, solo si venció antes del corte y sigue con saldo.</t>
      </text>
    </comment>
    <comment authorId="0" ref="R313">
      <text>
        <t xml:space="preserve">MAX(0; pagado − cuota pactada). Exceso para revisar: no se traspasa a otra cuota.</t>
      </text>
    </comment>
    <comment authorId="0" ref="S313">
      <text>
        <t xml:space="preserve">Pagada, Vencida, Vence hoy, Por vencer o Exceso sin imputar según fecha y saldo al corte.</t>
      </text>
    </comment>
    <comment authorId="0" ref="T313">
      <text>
        <t xml:space="preserve">Auxiliar para encontrar la primera cuota pendiente. El 999999 indica que esta cuota no tiene saldo pendiente o está fuera del plazo, y no es una fecha real.</t>
      </text>
    </comment>
    <comment authorId="0" ref="C314">
      <text>
        <t xml:space="preserve">Crédito al que corresponde esta cuota.</t>
      </text>
    </comment>
    <comment authorId="0" ref="D314">
      <text>
        <t xml:space="preserve">Número de cuota dentro del crédito.</t>
      </text>
    </comment>
    <comment authorId="0" ref="E314">
      <text>
        <t xml:space="preserve">Fecha según EDATE a partir del primer vencimiento. No ajusta automáticamente feriados.</t>
      </text>
    </comment>
    <comment authorId="0" ref="F314">
      <text>
        <t xml:space="preserve">Capital al inicio del período en el calendario ORIGINAL, sin recalcular por pagos reales.</t>
      </text>
    </comment>
    <comment authorId="0" ref="G314">
      <text>
        <t xml:space="preserve">Tasa efectiva del mes según la base ingresada.</t>
      </text>
    </comment>
    <comment authorId="0" ref="H314">
      <text>
        <t xml:space="preserve">Interés del período = capital inicial × tasa mensual, redondeado a dos decimales.</t>
      </text>
    </comment>
    <comment authorId="0" ref="I314">
      <text>
        <t xml:space="preserve">Capital e interés pactados. La última cuota ajusta el saldo por redondeo.</t>
      </text>
    </comment>
    <comment authorId="0" ref="J314">
      <text>
        <t xml:space="preserve">Capital amortizado TEÓRICO = cuota base − interés, limitado al saldo.</t>
      </text>
    </comment>
    <comment authorId="0" ref="K314">
      <text>
        <t xml:space="preserve">Seguro y otros cargos fijos del mes.</t>
      </text>
    </comment>
    <comment authorId="0" ref="L314">
      <text>
        <t xml:space="preserve">Cuota base + cargos.</t>
      </text>
    </comment>
    <comment authorId="0" ref="M314">
      <text>
        <t xml:space="preserve">Capital final del calendario teórico. No equivale al saldo real si hay pagos parciales o atrasos.</t>
      </text>
    </comment>
    <comment authorId="0" ref="N314">
      <text>
        <t xml:space="preserve">Suma de pagos válidos del mismo ID y cuota con fecha igual o anterior al corte.</t>
      </text>
    </comment>
    <comment authorId="0" ref="O314">
      <text>
        <t xml:space="preserve">MIN(amortización pactada; MAX(0; pagado − cargos − interés)). No imputa excedentes a otras cuotas.</t>
      </text>
    </comment>
    <comment authorId="0" ref="P314">
      <text>
        <t xml:space="preserve">MAX(0; total pactado − pagado a esta cuota). Incluye capital, interés y cargos pendientes de ESA cuota.</t>
      </text>
    </comment>
    <comment authorId="0" ref="Q314">
      <text>
        <t xml:space="preserve">Días desde vencimiento hasta corte, solo si venció antes del corte y sigue con saldo.</t>
      </text>
    </comment>
    <comment authorId="0" ref="R314">
      <text>
        <t xml:space="preserve">MAX(0; pagado − cuota pactada). Exceso para revisar: no se traspasa a otra cuota.</t>
      </text>
    </comment>
    <comment authorId="0" ref="S314">
      <text>
        <t xml:space="preserve">Pagada, Vencida, Vence hoy, Por vencer o Exceso sin imputar según fecha y saldo al corte.</t>
      </text>
    </comment>
    <comment authorId="0" ref="T314">
      <text>
        <t xml:space="preserve">Auxiliar para encontrar la primera cuota pendiente. El 999999 indica que esta cuota no tiene saldo pendiente o está fuera del plazo, y no es una fecha real.</t>
      </text>
    </comment>
    <comment authorId="0" ref="C315">
      <text>
        <t xml:space="preserve">Crédito al que corresponde esta cuota.</t>
      </text>
    </comment>
    <comment authorId="0" ref="D315">
      <text>
        <t xml:space="preserve">Número de cuota dentro del crédito.</t>
      </text>
    </comment>
    <comment authorId="0" ref="E315">
      <text>
        <t xml:space="preserve">Fecha según EDATE a partir del primer vencimiento. No ajusta automáticamente feriados.</t>
      </text>
    </comment>
    <comment authorId="0" ref="F315">
      <text>
        <t xml:space="preserve">Capital al inicio del período en el calendario ORIGINAL, sin recalcular por pagos reales.</t>
      </text>
    </comment>
    <comment authorId="0" ref="G315">
      <text>
        <t xml:space="preserve">Tasa efectiva del mes según la base ingresada.</t>
      </text>
    </comment>
    <comment authorId="0" ref="H315">
      <text>
        <t xml:space="preserve">Interés del período = capital inicial × tasa mensual, redondeado a dos decimales.</t>
      </text>
    </comment>
    <comment authorId="0" ref="I315">
      <text>
        <t xml:space="preserve">Capital e interés pactados. La última cuota ajusta el saldo por redondeo.</t>
      </text>
    </comment>
    <comment authorId="0" ref="J315">
      <text>
        <t xml:space="preserve">Capital amortizado TEÓRICO = cuota base − interés, limitado al saldo.</t>
      </text>
    </comment>
    <comment authorId="0" ref="K315">
      <text>
        <t xml:space="preserve">Seguro y otros cargos fijos del mes.</t>
      </text>
    </comment>
    <comment authorId="0" ref="L315">
      <text>
        <t xml:space="preserve">Cuota base + cargos.</t>
      </text>
    </comment>
    <comment authorId="0" ref="M315">
      <text>
        <t xml:space="preserve">Capital final del calendario teórico. No equivale al saldo real si hay pagos parciales o atrasos.</t>
      </text>
    </comment>
    <comment authorId="0" ref="N315">
      <text>
        <t xml:space="preserve">Suma de pagos válidos del mismo ID y cuota con fecha igual o anterior al corte.</t>
      </text>
    </comment>
    <comment authorId="0" ref="O315">
      <text>
        <t xml:space="preserve">MIN(amortización pactada; MAX(0; pagado − cargos − interés)). No imputa excedentes a otras cuotas.</t>
      </text>
    </comment>
    <comment authorId="0" ref="P315">
      <text>
        <t xml:space="preserve">MAX(0; total pactado − pagado a esta cuota). Incluye capital, interés y cargos pendientes de ESA cuota.</t>
      </text>
    </comment>
    <comment authorId="0" ref="Q315">
      <text>
        <t xml:space="preserve">Días desde vencimiento hasta corte, solo si venció antes del corte y sigue con saldo.</t>
      </text>
    </comment>
    <comment authorId="0" ref="R315">
      <text>
        <t xml:space="preserve">MAX(0; pagado − cuota pactada). Exceso para revisar: no se traspasa a otra cuota.</t>
      </text>
    </comment>
    <comment authorId="0" ref="S315">
      <text>
        <t xml:space="preserve">Pagada, Vencida, Vence hoy, Por vencer o Exceso sin imputar según fecha y saldo al corte.</t>
      </text>
    </comment>
    <comment authorId="0" ref="T315">
      <text>
        <t xml:space="preserve">Auxiliar para encontrar la primera cuota pendiente. El 999999 indica que esta cuota no tiene saldo pendiente o está fuera del plazo, y no es una fecha real.</t>
      </text>
    </comment>
    <comment authorId="0" ref="C316">
      <text>
        <t xml:space="preserve">Crédito al que corresponde esta cuota.</t>
      </text>
    </comment>
    <comment authorId="0" ref="D316">
      <text>
        <t xml:space="preserve">Número de cuota dentro del crédito.</t>
      </text>
    </comment>
    <comment authorId="0" ref="E316">
      <text>
        <t xml:space="preserve">Fecha según EDATE a partir del primer vencimiento. No ajusta automáticamente feriados.</t>
      </text>
    </comment>
    <comment authorId="0" ref="F316">
      <text>
        <t xml:space="preserve">Capital al inicio del período en el calendario ORIGINAL, sin recalcular por pagos reales.</t>
      </text>
    </comment>
    <comment authorId="0" ref="G316">
      <text>
        <t xml:space="preserve">Tasa efectiva del mes según la base ingresada.</t>
      </text>
    </comment>
    <comment authorId="0" ref="H316">
      <text>
        <t xml:space="preserve">Interés del período = capital inicial × tasa mensual, redondeado a dos decimales.</t>
      </text>
    </comment>
    <comment authorId="0" ref="I316">
      <text>
        <t xml:space="preserve">Capital e interés pactados. La última cuota ajusta el saldo por redondeo.</t>
      </text>
    </comment>
    <comment authorId="0" ref="J316">
      <text>
        <t xml:space="preserve">Capital amortizado TEÓRICO = cuota base − interés, limitado al saldo.</t>
      </text>
    </comment>
    <comment authorId="0" ref="K316">
      <text>
        <t xml:space="preserve">Seguro y otros cargos fijos del mes.</t>
      </text>
    </comment>
    <comment authorId="0" ref="L316">
      <text>
        <t xml:space="preserve">Cuota base + cargos.</t>
      </text>
    </comment>
    <comment authorId="0" ref="M316">
      <text>
        <t xml:space="preserve">Capital final del calendario teórico. No equivale al saldo real si hay pagos parciales o atrasos.</t>
      </text>
    </comment>
    <comment authorId="0" ref="N316">
      <text>
        <t xml:space="preserve">Suma de pagos válidos del mismo ID y cuota con fecha igual o anterior al corte.</t>
      </text>
    </comment>
    <comment authorId="0" ref="O316">
      <text>
        <t xml:space="preserve">MIN(amortización pactada; MAX(0; pagado − cargos − interés)). No imputa excedentes a otras cuotas.</t>
      </text>
    </comment>
    <comment authorId="0" ref="P316">
      <text>
        <t xml:space="preserve">MAX(0; total pactado − pagado a esta cuota). Incluye capital, interés y cargos pendientes de ESA cuota.</t>
      </text>
    </comment>
    <comment authorId="0" ref="Q316">
      <text>
        <t xml:space="preserve">Días desde vencimiento hasta corte, solo si venció antes del corte y sigue con saldo.</t>
      </text>
    </comment>
    <comment authorId="0" ref="R316">
      <text>
        <t xml:space="preserve">MAX(0; pagado − cuota pactada). Exceso para revisar: no se traspasa a otra cuota.</t>
      </text>
    </comment>
    <comment authorId="0" ref="S316">
      <text>
        <t xml:space="preserve">Pagada, Vencida, Vence hoy, Por vencer o Exceso sin imputar según fecha y saldo al corte.</t>
      </text>
    </comment>
    <comment authorId="0" ref="T316">
      <text>
        <t xml:space="preserve">Auxiliar para encontrar la primera cuota pendiente. El 999999 indica que esta cuota no tiene saldo pendiente o está fuera del plazo, y no es una fecha real.</t>
      </text>
    </comment>
    <comment authorId="0" ref="C317">
      <text>
        <t xml:space="preserve">Crédito al que corresponde esta cuota.</t>
      </text>
    </comment>
    <comment authorId="0" ref="D317">
      <text>
        <t xml:space="preserve">Número de cuota dentro del crédito.</t>
      </text>
    </comment>
    <comment authorId="0" ref="E317">
      <text>
        <t xml:space="preserve">Fecha según EDATE a partir del primer vencimiento. No ajusta automáticamente feriados.</t>
      </text>
    </comment>
    <comment authorId="0" ref="F317">
      <text>
        <t xml:space="preserve">Capital al inicio del período en el calendario ORIGINAL, sin recalcular por pagos reales.</t>
      </text>
    </comment>
    <comment authorId="0" ref="G317">
      <text>
        <t xml:space="preserve">Tasa efectiva del mes según la base ingresada.</t>
      </text>
    </comment>
    <comment authorId="0" ref="H317">
      <text>
        <t xml:space="preserve">Interés del período = capital inicial × tasa mensual, redondeado a dos decimales.</t>
      </text>
    </comment>
    <comment authorId="0" ref="I317">
      <text>
        <t xml:space="preserve">Capital e interés pactados. La última cuota ajusta el saldo por redondeo.</t>
      </text>
    </comment>
    <comment authorId="0" ref="J317">
      <text>
        <t xml:space="preserve">Capital amortizado TEÓRICO = cuota base − interés, limitado al saldo.</t>
      </text>
    </comment>
    <comment authorId="0" ref="K317">
      <text>
        <t xml:space="preserve">Seguro y otros cargos fijos del mes.</t>
      </text>
    </comment>
    <comment authorId="0" ref="L317">
      <text>
        <t xml:space="preserve">Cuota base + cargos.</t>
      </text>
    </comment>
    <comment authorId="0" ref="M317">
      <text>
        <t xml:space="preserve">Capital final del calendario teórico. No equivale al saldo real si hay pagos parciales o atrasos.</t>
      </text>
    </comment>
    <comment authorId="0" ref="N317">
      <text>
        <t xml:space="preserve">Suma de pagos válidos del mismo ID y cuota con fecha igual o anterior al corte.</t>
      </text>
    </comment>
    <comment authorId="0" ref="O317">
      <text>
        <t xml:space="preserve">MIN(amortización pactada; MAX(0; pagado − cargos − interés)). No imputa excedentes a otras cuotas.</t>
      </text>
    </comment>
    <comment authorId="0" ref="P317">
      <text>
        <t xml:space="preserve">MAX(0; total pactado − pagado a esta cuota). Incluye capital, interés y cargos pendientes de ESA cuota.</t>
      </text>
    </comment>
    <comment authorId="0" ref="Q317">
      <text>
        <t xml:space="preserve">Días desde vencimiento hasta corte, solo si venció antes del corte y sigue con saldo.</t>
      </text>
    </comment>
    <comment authorId="0" ref="R317">
      <text>
        <t xml:space="preserve">MAX(0; pagado − cuota pactada). Exceso para revisar: no se traspasa a otra cuota.</t>
      </text>
    </comment>
    <comment authorId="0" ref="S317">
      <text>
        <t xml:space="preserve">Pagada, Vencida, Vence hoy, Por vencer o Exceso sin imputar según fecha y saldo al corte.</t>
      </text>
    </comment>
    <comment authorId="0" ref="T317">
      <text>
        <t xml:space="preserve">Auxiliar para encontrar la primera cuota pendiente. El 999999 indica que esta cuota no tiene saldo pendiente o está fuera del plazo, y no es una fecha real.</t>
      </text>
    </comment>
    <comment authorId="0" ref="C318">
      <text>
        <t xml:space="preserve">Crédito al que corresponde esta cuota.</t>
      </text>
    </comment>
    <comment authorId="0" ref="D318">
      <text>
        <t xml:space="preserve">Número de cuota dentro del crédito.</t>
      </text>
    </comment>
    <comment authorId="0" ref="E318">
      <text>
        <t xml:space="preserve">Fecha según EDATE a partir del primer vencimiento. No ajusta automáticamente feriados.</t>
      </text>
    </comment>
    <comment authorId="0" ref="F318">
      <text>
        <t xml:space="preserve">Capital al inicio del período en el calendario ORIGINAL, sin recalcular por pagos reales.</t>
      </text>
    </comment>
    <comment authorId="0" ref="G318">
      <text>
        <t xml:space="preserve">Tasa efectiva del mes según la base ingresada.</t>
      </text>
    </comment>
    <comment authorId="0" ref="H318">
      <text>
        <t xml:space="preserve">Interés del período = capital inicial × tasa mensual, redondeado a dos decimales.</t>
      </text>
    </comment>
    <comment authorId="0" ref="I318">
      <text>
        <t xml:space="preserve">Capital e interés pactados. La última cuota ajusta el saldo por redondeo.</t>
      </text>
    </comment>
    <comment authorId="0" ref="J318">
      <text>
        <t xml:space="preserve">Capital amortizado TEÓRICO = cuota base − interés, limitado al saldo.</t>
      </text>
    </comment>
    <comment authorId="0" ref="K318">
      <text>
        <t xml:space="preserve">Seguro y otros cargos fijos del mes.</t>
      </text>
    </comment>
    <comment authorId="0" ref="L318">
      <text>
        <t xml:space="preserve">Cuota base + cargos.</t>
      </text>
    </comment>
    <comment authorId="0" ref="M318">
      <text>
        <t xml:space="preserve">Capital final del calendario teórico. No equivale al saldo real si hay pagos parciales o atrasos.</t>
      </text>
    </comment>
    <comment authorId="0" ref="N318">
      <text>
        <t xml:space="preserve">Suma de pagos válidos del mismo ID y cuota con fecha igual o anterior al corte.</t>
      </text>
    </comment>
    <comment authorId="0" ref="O318">
      <text>
        <t xml:space="preserve">MIN(amortización pactada; MAX(0; pagado − cargos − interés)). No imputa excedentes a otras cuotas.</t>
      </text>
    </comment>
    <comment authorId="0" ref="P318">
      <text>
        <t xml:space="preserve">MAX(0; total pactado − pagado a esta cuota). Incluye capital, interés y cargos pendientes de ESA cuota.</t>
      </text>
    </comment>
    <comment authorId="0" ref="Q318">
      <text>
        <t xml:space="preserve">Días desde vencimiento hasta corte, solo si venció antes del corte y sigue con saldo.</t>
      </text>
    </comment>
    <comment authorId="0" ref="R318">
      <text>
        <t xml:space="preserve">MAX(0; pagado − cuota pactada). Exceso para revisar: no se traspasa a otra cuota.</t>
      </text>
    </comment>
    <comment authorId="0" ref="S318">
      <text>
        <t xml:space="preserve">Pagada, Vencida, Vence hoy, Por vencer o Exceso sin imputar según fecha y saldo al corte.</t>
      </text>
    </comment>
    <comment authorId="0" ref="T318">
      <text>
        <t xml:space="preserve">Auxiliar para encontrar la primera cuota pendiente. El 999999 indica que esta cuota no tiene saldo pendiente o está fuera del plazo, y no es una fecha real.</t>
      </text>
    </comment>
    <comment authorId="0" ref="C319">
      <text>
        <t xml:space="preserve">Crédito al que corresponde esta cuota.</t>
      </text>
    </comment>
    <comment authorId="0" ref="D319">
      <text>
        <t xml:space="preserve">Número de cuota dentro del crédito.</t>
      </text>
    </comment>
    <comment authorId="0" ref="E319">
      <text>
        <t xml:space="preserve">Fecha según EDATE a partir del primer vencimiento. No ajusta automáticamente feriados.</t>
      </text>
    </comment>
    <comment authorId="0" ref="F319">
      <text>
        <t xml:space="preserve">Capital al inicio del período en el calendario ORIGINAL, sin recalcular por pagos reales.</t>
      </text>
    </comment>
    <comment authorId="0" ref="G319">
      <text>
        <t xml:space="preserve">Tasa efectiva del mes según la base ingresada.</t>
      </text>
    </comment>
    <comment authorId="0" ref="H319">
      <text>
        <t xml:space="preserve">Interés del período = capital inicial × tasa mensual, redondeado a dos decimales.</t>
      </text>
    </comment>
    <comment authorId="0" ref="I319">
      <text>
        <t xml:space="preserve">Capital e interés pactados. La última cuota ajusta el saldo por redondeo.</t>
      </text>
    </comment>
    <comment authorId="0" ref="J319">
      <text>
        <t xml:space="preserve">Capital amortizado TEÓRICO = cuota base − interés, limitado al saldo.</t>
      </text>
    </comment>
    <comment authorId="0" ref="K319">
      <text>
        <t xml:space="preserve">Seguro y otros cargos fijos del mes.</t>
      </text>
    </comment>
    <comment authorId="0" ref="L319">
      <text>
        <t xml:space="preserve">Cuota base + cargos.</t>
      </text>
    </comment>
    <comment authorId="0" ref="M319">
      <text>
        <t xml:space="preserve">Capital final del calendario teórico. No equivale al saldo real si hay pagos parciales o atrasos.</t>
      </text>
    </comment>
    <comment authorId="0" ref="N319">
      <text>
        <t xml:space="preserve">Suma de pagos válidos del mismo ID y cuota con fecha igual o anterior al corte.</t>
      </text>
    </comment>
    <comment authorId="0" ref="O319">
      <text>
        <t xml:space="preserve">MIN(amortización pactada; MAX(0; pagado − cargos − interés)). No imputa excedentes a otras cuotas.</t>
      </text>
    </comment>
    <comment authorId="0" ref="P319">
      <text>
        <t xml:space="preserve">MAX(0; total pactado − pagado a esta cuota). Incluye capital, interés y cargos pendientes de ESA cuota.</t>
      </text>
    </comment>
    <comment authorId="0" ref="Q319">
      <text>
        <t xml:space="preserve">Días desde vencimiento hasta corte, solo si venció antes del corte y sigue con saldo.</t>
      </text>
    </comment>
    <comment authorId="0" ref="R319">
      <text>
        <t xml:space="preserve">MAX(0; pagado − cuota pactada). Exceso para revisar: no se traspasa a otra cuota.</t>
      </text>
    </comment>
    <comment authorId="0" ref="S319">
      <text>
        <t xml:space="preserve">Pagada, Vencida, Vence hoy, Por vencer o Exceso sin imputar según fecha y saldo al corte.</t>
      </text>
    </comment>
    <comment authorId="0" ref="T319">
      <text>
        <t xml:space="preserve">Auxiliar para encontrar la primera cuota pendiente. El 999999 indica que esta cuota no tiene saldo pendiente o está fuera del plazo, y no es una fecha real.</t>
      </text>
    </comment>
    <comment authorId="0" ref="C320">
      <text>
        <t xml:space="preserve">Crédito al que corresponde esta cuota.</t>
      </text>
    </comment>
    <comment authorId="0" ref="D320">
      <text>
        <t xml:space="preserve">Número de cuota dentro del crédito.</t>
      </text>
    </comment>
    <comment authorId="0" ref="E320">
      <text>
        <t xml:space="preserve">Fecha según EDATE a partir del primer vencimiento. No ajusta automáticamente feriados.</t>
      </text>
    </comment>
    <comment authorId="0" ref="F320">
      <text>
        <t xml:space="preserve">Capital al inicio del período en el calendario ORIGINAL, sin recalcular por pagos reales.</t>
      </text>
    </comment>
    <comment authorId="0" ref="G320">
      <text>
        <t xml:space="preserve">Tasa efectiva del mes según la base ingresada.</t>
      </text>
    </comment>
    <comment authorId="0" ref="H320">
      <text>
        <t xml:space="preserve">Interés del período = capital inicial × tasa mensual, redondeado a dos decimales.</t>
      </text>
    </comment>
    <comment authorId="0" ref="I320">
      <text>
        <t xml:space="preserve">Capital e interés pactados. La última cuota ajusta el saldo por redondeo.</t>
      </text>
    </comment>
    <comment authorId="0" ref="J320">
      <text>
        <t xml:space="preserve">Capital amortizado TEÓRICO = cuota base − interés, limitado al saldo.</t>
      </text>
    </comment>
    <comment authorId="0" ref="K320">
      <text>
        <t xml:space="preserve">Seguro y otros cargos fijos del mes.</t>
      </text>
    </comment>
    <comment authorId="0" ref="L320">
      <text>
        <t xml:space="preserve">Cuota base + cargos.</t>
      </text>
    </comment>
    <comment authorId="0" ref="M320">
      <text>
        <t xml:space="preserve">Capital final del calendario teórico. No equivale al saldo real si hay pagos parciales o atrasos.</t>
      </text>
    </comment>
    <comment authorId="0" ref="N320">
      <text>
        <t xml:space="preserve">Suma de pagos válidos del mismo ID y cuota con fecha igual o anterior al corte.</t>
      </text>
    </comment>
    <comment authorId="0" ref="O320">
      <text>
        <t xml:space="preserve">MIN(amortización pactada; MAX(0; pagado − cargos − interés)). No imputa excedentes a otras cuotas.</t>
      </text>
    </comment>
    <comment authorId="0" ref="P320">
      <text>
        <t xml:space="preserve">MAX(0; total pactado − pagado a esta cuota). Incluye capital, interés y cargos pendientes de ESA cuota.</t>
      </text>
    </comment>
    <comment authorId="0" ref="Q320">
      <text>
        <t xml:space="preserve">Días desde vencimiento hasta corte, solo si venció antes del corte y sigue con saldo.</t>
      </text>
    </comment>
    <comment authorId="0" ref="R320">
      <text>
        <t xml:space="preserve">MAX(0; pagado − cuota pactada). Exceso para revisar: no se traspasa a otra cuota.</t>
      </text>
    </comment>
    <comment authorId="0" ref="S320">
      <text>
        <t xml:space="preserve">Pagada, Vencida, Vence hoy, Por vencer o Exceso sin imputar según fecha y saldo al corte.</t>
      </text>
    </comment>
    <comment authorId="0" ref="T320">
      <text>
        <t xml:space="preserve">Auxiliar para encontrar la primera cuota pendiente. El 999999 indica que esta cuota no tiene saldo pendiente o está fuera del plazo, y no es una fecha real.</t>
      </text>
    </comment>
    <comment authorId="0" ref="C321">
      <text>
        <t xml:space="preserve">Crédito al que corresponde esta cuota.</t>
      </text>
    </comment>
    <comment authorId="0" ref="D321">
      <text>
        <t xml:space="preserve">Número de cuota dentro del crédito.</t>
      </text>
    </comment>
    <comment authorId="0" ref="E321">
      <text>
        <t xml:space="preserve">Fecha según EDATE a partir del primer vencimiento. No ajusta automáticamente feriados.</t>
      </text>
    </comment>
    <comment authorId="0" ref="F321">
      <text>
        <t xml:space="preserve">Capital al inicio del período en el calendario ORIGINAL, sin recalcular por pagos reales.</t>
      </text>
    </comment>
    <comment authorId="0" ref="G321">
      <text>
        <t xml:space="preserve">Tasa efectiva del mes según la base ingresada.</t>
      </text>
    </comment>
    <comment authorId="0" ref="H321">
      <text>
        <t xml:space="preserve">Interés del período = capital inicial × tasa mensual, redondeado a dos decimales.</t>
      </text>
    </comment>
    <comment authorId="0" ref="I321">
      <text>
        <t xml:space="preserve">Capital e interés pactados. La última cuota ajusta el saldo por redondeo.</t>
      </text>
    </comment>
    <comment authorId="0" ref="J321">
      <text>
        <t xml:space="preserve">Capital amortizado TEÓRICO = cuota base − interés, limitado al saldo.</t>
      </text>
    </comment>
    <comment authorId="0" ref="K321">
      <text>
        <t xml:space="preserve">Seguro y otros cargos fijos del mes.</t>
      </text>
    </comment>
    <comment authorId="0" ref="L321">
      <text>
        <t xml:space="preserve">Cuota base + cargos.</t>
      </text>
    </comment>
    <comment authorId="0" ref="M321">
      <text>
        <t xml:space="preserve">Capital final del calendario teórico. No equivale al saldo real si hay pagos parciales o atrasos.</t>
      </text>
    </comment>
    <comment authorId="0" ref="N321">
      <text>
        <t xml:space="preserve">Suma de pagos válidos del mismo ID y cuota con fecha igual o anterior al corte.</t>
      </text>
    </comment>
    <comment authorId="0" ref="O321">
      <text>
        <t xml:space="preserve">MIN(amortización pactada; MAX(0; pagado − cargos − interés)). No imputa excedentes a otras cuotas.</t>
      </text>
    </comment>
    <comment authorId="0" ref="P321">
      <text>
        <t xml:space="preserve">MAX(0; total pactado − pagado a esta cuota). Incluye capital, interés y cargos pendientes de ESA cuota.</t>
      </text>
    </comment>
    <comment authorId="0" ref="Q321">
      <text>
        <t xml:space="preserve">Días desde vencimiento hasta corte, solo si venció antes del corte y sigue con saldo.</t>
      </text>
    </comment>
    <comment authorId="0" ref="R321">
      <text>
        <t xml:space="preserve">MAX(0; pagado − cuota pactada). Exceso para revisar: no se traspasa a otra cuota.</t>
      </text>
    </comment>
    <comment authorId="0" ref="S321">
      <text>
        <t xml:space="preserve">Pagada, Vencida, Vence hoy, Por vencer o Exceso sin imputar según fecha y saldo al corte.</t>
      </text>
    </comment>
    <comment authorId="0" ref="T321">
      <text>
        <t xml:space="preserve">Auxiliar para encontrar la primera cuota pendiente. El 999999 indica que esta cuota no tiene saldo pendiente o está fuera del plazo, y no es una fecha real.</t>
      </text>
    </comment>
    <comment authorId="0" ref="C322">
      <text>
        <t xml:space="preserve">Crédito al que corresponde esta cuota.</t>
      </text>
    </comment>
    <comment authorId="0" ref="D322">
      <text>
        <t xml:space="preserve">Número de cuota dentro del crédito.</t>
      </text>
    </comment>
    <comment authorId="0" ref="E322">
      <text>
        <t xml:space="preserve">Fecha según EDATE a partir del primer vencimiento. No ajusta automáticamente feriados.</t>
      </text>
    </comment>
    <comment authorId="0" ref="F322">
      <text>
        <t xml:space="preserve">Capital al inicio del período en el calendario ORIGINAL, sin recalcular por pagos reales.</t>
      </text>
    </comment>
    <comment authorId="0" ref="G322">
      <text>
        <t xml:space="preserve">Tasa efectiva del mes según la base ingresada.</t>
      </text>
    </comment>
    <comment authorId="0" ref="H322">
      <text>
        <t xml:space="preserve">Interés del período = capital inicial × tasa mensual, redondeado a dos decimales.</t>
      </text>
    </comment>
    <comment authorId="0" ref="I322">
      <text>
        <t xml:space="preserve">Capital e interés pactados. La última cuota ajusta el saldo por redondeo.</t>
      </text>
    </comment>
    <comment authorId="0" ref="J322">
      <text>
        <t xml:space="preserve">Capital amortizado TEÓRICO = cuota base − interés, limitado al saldo.</t>
      </text>
    </comment>
    <comment authorId="0" ref="K322">
      <text>
        <t xml:space="preserve">Seguro y otros cargos fijos del mes.</t>
      </text>
    </comment>
    <comment authorId="0" ref="L322">
      <text>
        <t xml:space="preserve">Cuota base + cargos.</t>
      </text>
    </comment>
    <comment authorId="0" ref="M322">
      <text>
        <t xml:space="preserve">Capital final del calendario teórico. No equivale al saldo real si hay pagos parciales o atrasos.</t>
      </text>
    </comment>
    <comment authorId="0" ref="N322">
      <text>
        <t xml:space="preserve">Suma de pagos válidos del mismo ID y cuota con fecha igual o anterior al corte.</t>
      </text>
    </comment>
    <comment authorId="0" ref="O322">
      <text>
        <t xml:space="preserve">MIN(amortización pactada; MAX(0; pagado − cargos − interés)). No imputa excedentes a otras cuotas.</t>
      </text>
    </comment>
    <comment authorId="0" ref="P322">
      <text>
        <t xml:space="preserve">MAX(0; total pactado − pagado a esta cuota). Incluye capital, interés y cargos pendientes de ESA cuota.</t>
      </text>
    </comment>
    <comment authorId="0" ref="Q322">
      <text>
        <t xml:space="preserve">Días desde vencimiento hasta corte, solo si venció antes del corte y sigue con saldo.</t>
      </text>
    </comment>
    <comment authorId="0" ref="R322">
      <text>
        <t xml:space="preserve">MAX(0; pagado − cuota pactada). Exceso para revisar: no se traspasa a otra cuota.</t>
      </text>
    </comment>
    <comment authorId="0" ref="S322">
      <text>
        <t xml:space="preserve">Pagada, Vencida, Vence hoy, Por vencer o Exceso sin imputar según fecha y saldo al corte.</t>
      </text>
    </comment>
    <comment authorId="0" ref="T322">
      <text>
        <t xml:space="preserve">Auxiliar para encontrar la primera cuota pendiente. El 999999 indica que esta cuota no tiene saldo pendiente o está fuera del plazo, y no es una fecha real.</t>
      </text>
    </comment>
    <comment authorId="0" ref="C323">
      <text>
        <t xml:space="preserve">Crédito al que corresponde esta cuota.</t>
      </text>
    </comment>
    <comment authorId="0" ref="D323">
      <text>
        <t xml:space="preserve">Número de cuota dentro del crédito.</t>
      </text>
    </comment>
    <comment authorId="0" ref="E323">
      <text>
        <t xml:space="preserve">Fecha según EDATE a partir del primer vencimiento. No ajusta automáticamente feriados.</t>
      </text>
    </comment>
    <comment authorId="0" ref="F323">
      <text>
        <t xml:space="preserve">Capital al inicio del período en el calendario ORIGINAL, sin recalcular por pagos reales.</t>
      </text>
    </comment>
    <comment authorId="0" ref="G323">
      <text>
        <t xml:space="preserve">Tasa efectiva del mes según la base ingresada.</t>
      </text>
    </comment>
    <comment authorId="0" ref="H323">
      <text>
        <t xml:space="preserve">Interés del período = capital inicial × tasa mensual, redondeado a dos decimales.</t>
      </text>
    </comment>
    <comment authorId="0" ref="I323">
      <text>
        <t xml:space="preserve">Capital e interés pactados. La última cuota ajusta el saldo por redondeo.</t>
      </text>
    </comment>
    <comment authorId="0" ref="J323">
      <text>
        <t xml:space="preserve">Capital amortizado TEÓRICO = cuota base − interés, limitado al saldo.</t>
      </text>
    </comment>
    <comment authorId="0" ref="K323">
      <text>
        <t xml:space="preserve">Seguro y otros cargos fijos del mes.</t>
      </text>
    </comment>
    <comment authorId="0" ref="L323">
      <text>
        <t xml:space="preserve">Cuota base + cargos.</t>
      </text>
    </comment>
    <comment authorId="0" ref="M323">
      <text>
        <t xml:space="preserve">Capital final del calendario teórico. No equivale al saldo real si hay pagos parciales o atrasos.</t>
      </text>
    </comment>
    <comment authorId="0" ref="N323">
      <text>
        <t xml:space="preserve">Suma de pagos válidos del mismo ID y cuota con fecha igual o anterior al corte.</t>
      </text>
    </comment>
    <comment authorId="0" ref="O323">
      <text>
        <t xml:space="preserve">MIN(amortización pactada; MAX(0; pagado − cargos − interés)). No imputa excedentes a otras cuotas.</t>
      </text>
    </comment>
    <comment authorId="0" ref="P323">
      <text>
        <t xml:space="preserve">MAX(0; total pactado − pagado a esta cuota). Incluye capital, interés y cargos pendientes de ESA cuota.</t>
      </text>
    </comment>
    <comment authorId="0" ref="Q323">
      <text>
        <t xml:space="preserve">Días desde vencimiento hasta corte, solo si venció antes del corte y sigue con saldo.</t>
      </text>
    </comment>
    <comment authorId="0" ref="R323">
      <text>
        <t xml:space="preserve">MAX(0; pagado − cuota pactada). Exceso para revisar: no se traspasa a otra cuota.</t>
      </text>
    </comment>
    <comment authorId="0" ref="S323">
      <text>
        <t xml:space="preserve">Pagada, Vencida, Vence hoy, Por vencer o Exceso sin imputar según fecha y saldo al corte.</t>
      </text>
    </comment>
    <comment authorId="0" ref="T323">
      <text>
        <t xml:space="preserve">Auxiliar para encontrar la primera cuota pendiente. El 999999 indica que esta cuota no tiene saldo pendiente o está fuera del plazo, y no es una fecha real.</t>
      </text>
    </comment>
    <comment authorId="0" ref="C324">
      <text>
        <t xml:space="preserve">Crédito al que corresponde esta cuota.</t>
      </text>
    </comment>
    <comment authorId="0" ref="D324">
      <text>
        <t xml:space="preserve">Número de cuota dentro del crédito.</t>
      </text>
    </comment>
    <comment authorId="0" ref="E324">
      <text>
        <t xml:space="preserve">Fecha según EDATE a partir del primer vencimiento. No ajusta automáticamente feriados.</t>
      </text>
    </comment>
    <comment authorId="0" ref="F324">
      <text>
        <t xml:space="preserve">Capital al inicio del período en el calendario ORIGINAL, sin recalcular por pagos reales.</t>
      </text>
    </comment>
    <comment authorId="0" ref="G324">
      <text>
        <t xml:space="preserve">Tasa efectiva del mes según la base ingresada.</t>
      </text>
    </comment>
    <comment authorId="0" ref="H324">
      <text>
        <t xml:space="preserve">Interés del período = capital inicial × tasa mensual, redondeado a dos decimales.</t>
      </text>
    </comment>
    <comment authorId="0" ref="I324">
      <text>
        <t xml:space="preserve">Capital e interés pactados. La última cuota ajusta el saldo por redondeo.</t>
      </text>
    </comment>
    <comment authorId="0" ref="J324">
      <text>
        <t xml:space="preserve">Capital amortizado TEÓRICO = cuota base − interés, limitado al saldo.</t>
      </text>
    </comment>
    <comment authorId="0" ref="K324">
      <text>
        <t xml:space="preserve">Seguro y otros cargos fijos del mes.</t>
      </text>
    </comment>
    <comment authorId="0" ref="L324">
      <text>
        <t xml:space="preserve">Cuota base + cargos.</t>
      </text>
    </comment>
    <comment authorId="0" ref="M324">
      <text>
        <t xml:space="preserve">Capital final del calendario teórico. No equivale al saldo real si hay pagos parciales o atrasos.</t>
      </text>
    </comment>
    <comment authorId="0" ref="N324">
      <text>
        <t xml:space="preserve">Suma de pagos válidos del mismo ID y cuota con fecha igual o anterior al corte.</t>
      </text>
    </comment>
    <comment authorId="0" ref="O324">
      <text>
        <t xml:space="preserve">MIN(amortización pactada; MAX(0; pagado − cargos − interés)). No imputa excedentes a otras cuotas.</t>
      </text>
    </comment>
    <comment authorId="0" ref="P324">
      <text>
        <t xml:space="preserve">MAX(0; total pactado − pagado a esta cuota). Incluye capital, interés y cargos pendientes de ESA cuota.</t>
      </text>
    </comment>
    <comment authorId="0" ref="Q324">
      <text>
        <t xml:space="preserve">Días desde vencimiento hasta corte, solo si venció antes del corte y sigue con saldo.</t>
      </text>
    </comment>
    <comment authorId="0" ref="R324">
      <text>
        <t xml:space="preserve">MAX(0; pagado − cuota pactada). Exceso para revisar: no se traspasa a otra cuota.</t>
      </text>
    </comment>
    <comment authorId="0" ref="S324">
      <text>
        <t xml:space="preserve">Pagada, Vencida, Vence hoy, Por vencer o Exceso sin imputar según fecha y saldo al corte.</t>
      </text>
    </comment>
    <comment authorId="0" ref="T324">
      <text>
        <t xml:space="preserve">Auxiliar para encontrar la primera cuota pendiente. El 999999 indica que esta cuota no tiene saldo pendiente o está fuera del plazo, y no es una fecha real.</t>
      </text>
    </comment>
    <comment authorId="0" ref="C325">
      <text>
        <t xml:space="preserve">Crédito al que corresponde esta cuota.</t>
      </text>
    </comment>
    <comment authorId="0" ref="D325">
      <text>
        <t xml:space="preserve">Número de cuota dentro del crédito.</t>
      </text>
    </comment>
    <comment authorId="0" ref="E325">
      <text>
        <t xml:space="preserve">Fecha según EDATE a partir del primer vencimiento. No ajusta automáticamente feriados.</t>
      </text>
    </comment>
    <comment authorId="0" ref="F325">
      <text>
        <t xml:space="preserve">Capital al inicio del período en el calendario ORIGINAL, sin recalcular por pagos reales.</t>
      </text>
    </comment>
    <comment authorId="0" ref="G325">
      <text>
        <t xml:space="preserve">Tasa efectiva del mes según la base ingresada.</t>
      </text>
    </comment>
    <comment authorId="0" ref="H325">
      <text>
        <t xml:space="preserve">Interés del período = capital inicial × tasa mensual, redondeado a dos decimales.</t>
      </text>
    </comment>
    <comment authorId="0" ref="I325">
      <text>
        <t xml:space="preserve">Capital e interés pactados. La última cuota ajusta el saldo por redondeo.</t>
      </text>
    </comment>
    <comment authorId="0" ref="J325">
      <text>
        <t xml:space="preserve">Capital amortizado TEÓRICO = cuota base − interés, limitado al saldo.</t>
      </text>
    </comment>
    <comment authorId="0" ref="K325">
      <text>
        <t xml:space="preserve">Seguro y otros cargos fijos del mes.</t>
      </text>
    </comment>
    <comment authorId="0" ref="L325">
      <text>
        <t xml:space="preserve">Cuota base + cargos.</t>
      </text>
    </comment>
    <comment authorId="0" ref="M325">
      <text>
        <t xml:space="preserve">Capital final del calendario teórico. No equivale al saldo real si hay pagos parciales o atrasos.</t>
      </text>
    </comment>
    <comment authorId="0" ref="N325">
      <text>
        <t xml:space="preserve">Suma de pagos válidos del mismo ID y cuota con fecha igual o anterior al corte.</t>
      </text>
    </comment>
    <comment authorId="0" ref="O325">
      <text>
        <t xml:space="preserve">MIN(amortización pactada; MAX(0; pagado − cargos − interés)). No imputa excedentes a otras cuotas.</t>
      </text>
    </comment>
    <comment authorId="0" ref="P325">
      <text>
        <t xml:space="preserve">MAX(0; total pactado − pagado a esta cuota). Incluye capital, interés y cargos pendientes de ESA cuota.</t>
      </text>
    </comment>
    <comment authorId="0" ref="Q325">
      <text>
        <t xml:space="preserve">Días desde vencimiento hasta corte, solo si venció antes del corte y sigue con saldo.</t>
      </text>
    </comment>
    <comment authorId="0" ref="R325">
      <text>
        <t xml:space="preserve">MAX(0; pagado − cuota pactada). Exceso para revisar: no se traspasa a otra cuota.</t>
      </text>
    </comment>
    <comment authorId="0" ref="S325">
      <text>
        <t xml:space="preserve">Pagada, Vencida, Vence hoy, Por vencer o Exceso sin imputar según fecha y saldo al corte.</t>
      </text>
    </comment>
    <comment authorId="0" ref="T325">
      <text>
        <t xml:space="preserve">Auxiliar para encontrar la primera cuota pendiente. El 999999 indica que esta cuota no tiene saldo pendiente o está fuera del plazo, y no es una fecha real.</t>
      </text>
    </comment>
    <comment authorId="0" ref="C326">
      <text>
        <t xml:space="preserve">Crédito al que corresponde esta cuota.</t>
      </text>
    </comment>
    <comment authorId="0" ref="D326">
      <text>
        <t xml:space="preserve">Número de cuota dentro del crédito.</t>
      </text>
    </comment>
    <comment authorId="0" ref="E326">
      <text>
        <t xml:space="preserve">Fecha según EDATE a partir del primer vencimiento. No ajusta automáticamente feriados.</t>
      </text>
    </comment>
    <comment authorId="0" ref="F326">
      <text>
        <t xml:space="preserve">Capital al inicio del período en el calendario ORIGINAL, sin recalcular por pagos reales.</t>
      </text>
    </comment>
    <comment authorId="0" ref="G326">
      <text>
        <t xml:space="preserve">Tasa efectiva del mes según la base ingresada.</t>
      </text>
    </comment>
    <comment authorId="0" ref="H326">
      <text>
        <t xml:space="preserve">Interés del período = capital inicial × tasa mensual, redondeado a dos decimales.</t>
      </text>
    </comment>
    <comment authorId="0" ref="I326">
      <text>
        <t xml:space="preserve">Capital e interés pactados. La última cuota ajusta el saldo por redondeo.</t>
      </text>
    </comment>
    <comment authorId="0" ref="J326">
      <text>
        <t xml:space="preserve">Capital amortizado TEÓRICO = cuota base − interés, limitado al saldo.</t>
      </text>
    </comment>
    <comment authorId="0" ref="K326">
      <text>
        <t xml:space="preserve">Seguro y otros cargos fijos del mes.</t>
      </text>
    </comment>
    <comment authorId="0" ref="L326">
      <text>
        <t xml:space="preserve">Cuota base + cargos.</t>
      </text>
    </comment>
    <comment authorId="0" ref="M326">
      <text>
        <t xml:space="preserve">Capital final del calendario teórico. No equivale al saldo real si hay pagos parciales o atrasos.</t>
      </text>
    </comment>
    <comment authorId="0" ref="N326">
      <text>
        <t xml:space="preserve">Suma de pagos válidos del mismo ID y cuota con fecha igual o anterior al corte.</t>
      </text>
    </comment>
    <comment authorId="0" ref="O326">
      <text>
        <t xml:space="preserve">MIN(amortización pactada; MAX(0; pagado − cargos − interés)). No imputa excedentes a otras cuotas.</t>
      </text>
    </comment>
    <comment authorId="0" ref="P326">
      <text>
        <t xml:space="preserve">MAX(0; total pactado − pagado a esta cuota). Incluye capital, interés y cargos pendientes de ESA cuota.</t>
      </text>
    </comment>
    <comment authorId="0" ref="Q326">
      <text>
        <t xml:space="preserve">Días desde vencimiento hasta corte, solo si venció antes del corte y sigue con saldo.</t>
      </text>
    </comment>
    <comment authorId="0" ref="R326">
      <text>
        <t xml:space="preserve">MAX(0; pagado − cuota pactada). Exceso para revisar: no se traspasa a otra cuota.</t>
      </text>
    </comment>
    <comment authorId="0" ref="S326">
      <text>
        <t xml:space="preserve">Pagada, Vencida, Vence hoy, Por vencer o Exceso sin imputar según fecha y saldo al corte.</t>
      </text>
    </comment>
    <comment authorId="0" ref="T326">
      <text>
        <t xml:space="preserve">Auxiliar para encontrar la primera cuota pendiente. El 999999 indica que esta cuota no tiene saldo pendiente o está fuera del plazo, y no es una fecha real.</t>
      </text>
    </comment>
    <comment authorId="0" ref="C327">
      <text>
        <t xml:space="preserve">Crédito al que corresponde esta cuota.</t>
      </text>
    </comment>
    <comment authorId="0" ref="D327">
      <text>
        <t xml:space="preserve">Número de cuota dentro del crédito.</t>
      </text>
    </comment>
    <comment authorId="0" ref="E327">
      <text>
        <t xml:space="preserve">Fecha según EDATE a partir del primer vencimiento. No ajusta automáticamente feriados.</t>
      </text>
    </comment>
    <comment authorId="0" ref="F327">
      <text>
        <t xml:space="preserve">Capital al inicio del período en el calendario ORIGINAL, sin recalcular por pagos reales.</t>
      </text>
    </comment>
    <comment authorId="0" ref="G327">
      <text>
        <t xml:space="preserve">Tasa efectiva del mes según la base ingresada.</t>
      </text>
    </comment>
    <comment authorId="0" ref="H327">
      <text>
        <t xml:space="preserve">Interés del período = capital inicial × tasa mensual, redondeado a dos decimales.</t>
      </text>
    </comment>
    <comment authorId="0" ref="I327">
      <text>
        <t xml:space="preserve">Capital e interés pactados. La última cuota ajusta el saldo por redondeo.</t>
      </text>
    </comment>
    <comment authorId="0" ref="J327">
      <text>
        <t xml:space="preserve">Capital amortizado TEÓRICO = cuota base − interés, limitado al saldo.</t>
      </text>
    </comment>
    <comment authorId="0" ref="K327">
      <text>
        <t xml:space="preserve">Seguro y otros cargos fijos del mes.</t>
      </text>
    </comment>
    <comment authorId="0" ref="L327">
      <text>
        <t xml:space="preserve">Cuota base + cargos.</t>
      </text>
    </comment>
    <comment authorId="0" ref="M327">
      <text>
        <t xml:space="preserve">Capital final del calendario teórico. No equivale al saldo real si hay pagos parciales o atrasos.</t>
      </text>
    </comment>
    <comment authorId="0" ref="N327">
      <text>
        <t xml:space="preserve">Suma de pagos válidos del mismo ID y cuota con fecha igual o anterior al corte.</t>
      </text>
    </comment>
    <comment authorId="0" ref="O327">
      <text>
        <t xml:space="preserve">MIN(amortización pactada; MAX(0; pagado − cargos − interés)). No imputa excedentes a otras cuotas.</t>
      </text>
    </comment>
    <comment authorId="0" ref="P327">
      <text>
        <t xml:space="preserve">MAX(0; total pactado − pagado a esta cuota). Incluye capital, interés y cargos pendientes de ESA cuota.</t>
      </text>
    </comment>
    <comment authorId="0" ref="Q327">
      <text>
        <t xml:space="preserve">Días desde vencimiento hasta corte, solo si venció antes del corte y sigue con saldo.</t>
      </text>
    </comment>
    <comment authorId="0" ref="R327">
      <text>
        <t xml:space="preserve">MAX(0; pagado − cuota pactada). Exceso para revisar: no se traspasa a otra cuota.</t>
      </text>
    </comment>
    <comment authorId="0" ref="S327">
      <text>
        <t xml:space="preserve">Pagada, Vencida, Vence hoy, Por vencer o Exceso sin imputar según fecha y saldo al corte.</t>
      </text>
    </comment>
    <comment authorId="0" ref="T327">
      <text>
        <t xml:space="preserve">Auxiliar para encontrar la primera cuota pendiente. El 999999 indica que esta cuota no tiene saldo pendiente o está fuera del plazo, y no es una fecha real.</t>
      </text>
    </comment>
    <comment authorId="0" ref="C328">
      <text>
        <t xml:space="preserve">Crédito al que corresponde esta cuota.</t>
      </text>
    </comment>
    <comment authorId="0" ref="D328">
      <text>
        <t xml:space="preserve">Número de cuota dentro del crédito.</t>
      </text>
    </comment>
    <comment authorId="0" ref="E328">
      <text>
        <t xml:space="preserve">Fecha según EDATE a partir del primer vencimiento. No ajusta automáticamente feriados.</t>
      </text>
    </comment>
    <comment authorId="0" ref="F328">
      <text>
        <t xml:space="preserve">Capital al inicio del período en el calendario ORIGINAL, sin recalcular por pagos reales.</t>
      </text>
    </comment>
    <comment authorId="0" ref="G328">
      <text>
        <t xml:space="preserve">Tasa efectiva del mes según la base ingresada.</t>
      </text>
    </comment>
    <comment authorId="0" ref="H328">
      <text>
        <t xml:space="preserve">Interés del período = capital inicial × tasa mensual, redondeado a dos decimales.</t>
      </text>
    </comment>
    <comment authorId="0" ref="I328">
      <text>
        <t xml:space="preserve">Capital e interés pactados. La última cuota ajusta el saldo por redondeo.</t>
      </text>
    </comment>
    <comment authorId="0" ref="J328">
      <text>
        <t xml:space="preserve">Capital amortizado TEÓRICO = cuota base − interés, limitado al saldo.</t>
      </text>
    </comment>
    <comment authorId="0" ref="K328">
      <text>
        <t xml:space="preserve">Seguro y otros cargos fijos del mes.</t>
      </text>
    </comment>
    <comment authorId="0" ref="L328">
      <text>
        <t xml:space="preserve">Cuota base + cargos.</t>
      </text>
    </comment>
    <comment authorId="0" ref="M328">
      <text>
        <t xml:space="preserve">Capital final del calendario teórico. No equivale al saldo real si hay pagos parciales o atrasos.</t>
      </text>
    </comment>
    <comment authorId="0" ref="N328">
      <text>
        <t xml:space="preserve">Suma de pagos válidos del mismo ID y cuota con fecha igual o anterior al corte.</t>
      </text>
    </comment>
    <comment authorId="0" ref="O328">
      <text>
        <t xml:space="preserve">MIN(amortización pactada; MAX(0; pagado − cargos − interés)). No imputa excedentes a otras cuotas.</t>
      </text>
    </comment>
    <comment authorId="0" ref="P328">
      <text>
        <t xml:space="preserve">MAX(0; total pactado − pagado a esta cuota). Incluye capital, interés y cargos pendientes de ESA cuota.</t>
      </text>
    </comment>
    <comment authorId="0" ref="Q328">
      <text>
        <t xml:space="preserve">Días desde vencimiento hasta corte, solo si venció antes del corte y sigue con saldo.</t>
      </text>
    </comment>
    <comment authorId="0" ref="R328">
      <text>
        <t xml:space="preserve">MAX(0; pagado − cuota pactada). Exceso para revisar: no se traspasa a otra cuota.</t>
      </text>
    </comment>
    <comment authorId="0" ref="S328">
      <text>
        <t xml:space="preserve">Pagada, Vencida, Vence hoy, Por vencer o Exceso sin imputar según fecha y saldo al corte.</t>
      </text>
    </comment>
    <comment authorId="0" ref="T328">
      <text>
        <t xml:space="preserve">Auxiliar para encontrar la primera cuota pendiente. El 999999 indica que esta cuota no tiene saldo pendiente o está fuera del plazo, y no es una fecha real.</t>
      </text>
    </comment>
    <comment authorId="0" ref="C329">
      <text>
        <t xml:space="preserve">Crédito al que corresponde esta cuota.</t>
      </text>
    </comment>
    <comment authorId="0" ref="D329">
      <text>
        <t xml:space="preserve">Número de cuota dentro del crédito.</t>
      </text>
    </comment>
    <comment authorId="0" ref="E329">
      <text>
        <t xml:space="preserve">Fecha según EDATE a partir del primer vencimiento. No ajusta automáticamente feriados.</t>
      </text>
    </comment>
    <comment authorId="0" ref="F329">
      <text>
        <t xml:space="preserve">Capital al inicio del período en el calendario ORIGINAL, sin recalcular por pagos reales.</t>
      </text>
    </comment>
    <comment authorId="0" ref="G329">
      <text>
        <t xml:space="preserve">Tasa efectiva del mes según la base ingresada.</t>
      </text>
    </comment>
    <comment authorId="0" ref="H329">
      <text>
        <t xml:space="preserve">Interés del período = capital inicial × tasa mensual, redondeado a dos decimales.</t>
      </text>
    </comment>
    <comment authorId="0" ref="I329">
      <text>
        <t xml:space="preserve">Capital e interés pactados. La última cuota ajusta el saldo por redondeo.</t>
      </text>
    </comment>
    <comment authorId="0" ref="J329">
      <text>
        <t xml:space="preserve">Capital amortizado TEÓRICO = cuota base − interés, limitado al saldo.</t>
      </text>
    </comment>
    <comment authorId="0" ref="K329">
      <text>
        <t xml:space="preserve">Seguro y otros cargos fijos del mes.</t>
      </text>
    </comment>
    <comment authorId="0" ref="L329">
      <text>
        <t xml:space="preserve">Cuota base + cargos.</t>
      </text>
    </comment>
    <comment authorId="0" ref="M329">
      <text>
        <t xml:space="preserve">Capital final del calendario teórico. No equivale al saldo real si hay pagos parciales o atrasos.</t>
      </text>
    </comment>
    <comment authorId="0" ref="N329">
      <text>
        <t xml:space="preserve">Suma de pagos válidos del mismo ID y cuota con fecha igual o anterior al corte.</t>
      </text>
    </comment>
    <comment authorId="0" ref="O329">
      <text>
        <t xml:space="preserve">MIN(amortización pactada; MAX(0; pagado − cargos − interés)). No imputa excedentes a otras cuotas.</t>
      </text>
    </comment>
    <comment authorId="0" ref="P329">
      <text>
        <t xml:space="preserve">MAX(0; total pactado − pagado a esta cuota). Incluye capital, interés y cargos pendientes de ESA cuota.</t>
      </text>
    </comment>
    <comment authorId="0" ref="Q329">
      <text>
        <t xml:space="preserve">Días desde vencimiento hasta corte, solo si venció antes del corte y sigue con saldo.</t>
      </text>
    </comment>
    <comment authorId="0" ref="R329">
      <text>
        <t xml:space="preserve">MAX(0; pagado − cuota pactada). Exceso para revisar: no se traspasa a otra cuota.</t>
      </text>
    </comment>
    <comment authorId="0" ref="S329">
      <text>
        <t xml:space="preserve">Pagada, Vencida, Vence hoy, Por vencer o Exceso sin imputar según fecha y saldo al corte.</t>
      </text>
    </comment>
    <comment authorId="0" ref="T329">
      <text>
        <t xml:space="preserve">Auxiliar para encontrar la primera cuota pendiente. El 999999 indica que esta cuota no tiene saldo pendiente o está fuera del plazo, y no es una fecha real.</t>
      </text>
    </comment>
    <comment authorId="0" ref="C330">
      <text>
        <t xml:space="preserve">Crédito al que corresponde esta cuota.</t>
      </text>
    </comment>
    <comment authorId="0" ref="D330">
      <text>
        <t xml:space="preserve">Número de cuota dentro del crédito.</t>
      </text>
    </comment>
    <comment authorId="0" ref="E330">
      <text>
        <t xml:space="preserve">Fecha según EDATE a partir del primer vencimiento. No ajusta automáticamente feriados.</t>
      </text>
    </comment>
    <comment authorId="0" ref="F330">
      <text>
        <t xml:space="preserve">Capital al inicio del período en el calendario ORIGINAL, sin recalcular por pagos reales.</t>
      </text>
    </comment>
    <comment authorId="0" ref="G330">
      <text>
        <t xml:space="preserve">Tasa efectiva del mes según la base ingresada.</t>
      </text>
    </comment>
    <comment authorId="0" ref="H330">
      <text>
        <t xml:space="preserve">Interés del período = capital inicial × tasa mensual, redondeado a dos decimales.</t>
      </text>
    </comment>
    <comment authorId="0" ref="I330">
      <text>
        <t xml:space="preserve">Capital e interés pactados. La última cuota ajusta el saldo por redondeo.</t>
      </text>
    </comment>
    <comment authorId="0" ref="J330">
      <text>
        <t xml:space="preserve">Capital amortizado TEÓRICO = cuota base − interés, limitado al saldo.</t>
      </text>
    </comment>
    <comment authorId="0" ref="K330">
      <text>
        <t xml:space="preserve">Seguro y otros cargos fijos del mes.</t>
      </text>
    </comment>
    <comment authorId="0" ref="L330">
      <text>
        <t xml:space="preserve">Cuota base + cargos.</t>
      </text>
    </comment>
    <comment authorId="0" ref="M330">
      <text>
        <t xml:space="preserve">Capital final del calendario teórico. No equivale al saldo real si hay pagos parciales o atrasos.</t>
      </text>
    </comment>
    <comment authorId="0" ref="N330">
      <text>
        <t xml:space="preserve">Suma de pagos válidos del mismo ID y cuota con fecha igual o anterior al corte.</t>
      </text>
    </comment>
    <comment authorId="0" ref="O330">
      <text>
        <t xml:space="preserve">MIN(amortización pactada; MAX(0; pagado − cargos − interés)). No imputa excedentes a otras cuotas.</t>
      </text>
    </comment>
    <comment authorId="0" ref="P330">
      <text>
        <t xml:space="preserve">MAX(0; total pactado − pagado a esta cuota). Incluye capital, interés y cargos pendientes de ESA cuota.</t>
      </text>
    </comment>
    <comment authorId="0" ref="Q330">
      <text>
        <t xml:space="preserve">Días desde vencimiento hasta corte, solo si venció antes del corte y sigue con saldo.</t>
      </text>
    </comment>
    <comment authorId="0" ref="R330">
      <text>
        <t xml:space="preserve">MAX(0; pagado − cuota pactada). Exceso para revisar: no se traspasa a otra cuota.</t>
      </text>
    </comment>
    <comment authorId="0" ref="S330">
      <text>
        <t xml:space="preserve">Pagada, Vencida, Vence hoy, Por vencer o Exceso sin imputar según fecha y saldo al corte.</t>
      </text>
    </comment>
    <comment authorId="0" ref="T330">
      <text>
        <t xml:space="preserve">Auxiliar para encontrar la primera cuota pendiente. El 999999 indica que esta cuota no tiene saldo pendiente o está fuera del plazo, y no es una fecha real.</t>
      </text>
    </comment>
    <comment authorId="0" ref="C331">
      <text>
        <t xml:space="preserve">Crédito al que corresponde esta cuota.</t>
      </text>
    </comment>
    <comment authorId="0" ref="D331">
      <text>
        <t xml:space="preserve">Número de cuota dentro del crédito.</t>
      </text>
    </comment>
    <comment authorId="0" ref="E331">
      <text>
        <t xml:space="preserve">Fecha según EDATE a partir del primer vencimiento. No ajusta automáticamente feriados.</t>
      </text>
    </comment>
    <comment authorId="0" ref="F331">
      <text>
        <t xml:space="preserve">Capital al inicio del período en el calendario ORIGINAL, sin recalcular por pagos reales.</t>
      </text>
    </comment>
    <comment authorId="0" ref="G331">
      <text>
        <t xml:space="preserve">Tasa efectiva del mes según la base ingresada.</t>
      </text>
    </comment>
    <comment authorId="0" ref="H331">
      <text>
        <t xml:space="preserve">Interés del período = capital inicial × tasa mensual, redondeado a dos decimales.</t>
      </text>
    </comment>
    <comment authorId="0" ref="I331">
      <text>
        <t xml:space="preserve">Capital e interés pactados. La última cuota ajusta el saldo por redondeo.</t>
      </text>
    </comment>
    <comment authorId="0" ref="J331">
      <text>
        <t xml:space="preserve">Capital amortizado TEÓRICO = cuota base − interés, limitado al saldo.</t>
      </text>
    </comment>
    <comment authorId="0" ref="K331">
      <text>
        <t xml:space="preserve">Seguro y otros cargos fijos del mes.</t>
      </text>
    </comment>
    <comment authorId="0" ref="L331">
      <text>
        <t xml:space="preserve">Cuota base + cargos.</t>
      </text>
    </comment>
    <comment authorId="0" ref="M331">
      <text>
        <t xml:space="preserve">Capital final del calendario teórico. No equivale al saldo real si hay pagos parciales o atrasos.</t>
      </text>
    </comment>
    <comment authorId="0" ref="N331">
      <text>
        <t xml:space="preserve">Suma de pagos válidos del mismo ID y cuota con fecha igual o anterior al corte.</t>
      </text>
    </comment>
    <comment authorId="0" ref="O331">
      <text>
        <t xml:space="preserve">MIN(amortización pactada; MAX(0; pagado − cargos − interés)). No imputa excedentes a otras cuotas.</t>
      </text>
    </comment>
    <comment authorId="0" ref="P331">
      <text>
        <t xml:space="preserve">MAX(0; total pactado − pagado a esta cuota). Incluye capital, interés y cargos pendientes de ESA cuota.</t>
      </text>
    </comment>
    <comment authorId="0" ref="Q331">
      <text>
        <t xml:space="preserve">Días desde vencimiento hasta corte, solo si venció antes del corte y sigue con saldo.</t>
      </text>
    </comment>
    <comment authorId="0" ref="R331">
      <text>
        <t xml:space="preserve">MAX(0; pagado − cuota pactada). Exceso para revisar: no se traspasa a otra cuota.</t>
      </text>
    </comment>
    <comment authorId="0" ref="S331">
      <text>
        <t xml:space="preserve">Pagada, Vencida, Vence hoy, Por vencer o Exceso sin imputar según fecha y saldo al corte.</t>
      </text>
    </comment>
    <comment authorId="0" ref="T331">
      <text>
        <t xml:space="preserve">Auxiliar para encontrar la primera cuota pendiente. El 999999 indica que esta cuota no tiene saldo pendiente o está fuera del plazo, y no es una fecha real.</t>
      </text>
    </comment>
    <comment authorId="0" ref="C332">
      <text>
        <t xml:space="preserve">Crédito al que corresponde esta cuota.</t>
      </text>
    </comment>
    <comment authorId="0" ref="D332">
      <text>
        <t xml:space="preserve">Número de cuota dentro del crédito.</t>
      </text>
    </comment>
    <comment authorId="0" ref="E332">
      <text>
        <t xml:space="preserve">Fecha según EDATE a partir del primer vencimiento. No ajusta automáticamente feriados.</t>
      </text>
    </comment>
    <comment authorId="0" ref="F332">
      <text>
        <t xml:space="preserve">Capital al inicio del período en el calendario ORIGINAL, sin recalcular por pagos reales.</t>
      </text>
    </comment>
    <comment authorId="0" ref="G332">
      <text>
        <t xml:space="preserve">Tasa efectiva del mes según la base ingresada.</t>
      </text>
    </comment>
    <comment authorId="0" ref="H332">
      <text>
        <t xml:space="preserve">Interés del período = capital inicial × tasa mensual, redondeado a dos decimales.</t>
      </text>
    </comment>
    <comment authorId="0" ref="I332">
      <text>
        <t xml:space="preserve">Capital e interés pactados. La última cuota ajusta el saldo por redondeo.</t>
      </text>
    </comment>
    <comment authorId="0" ref="J332">
      <text>
        <t xml:space="preserve">Capital amortizado TEÓRICO = cuota base − interés, limitado al saldo.</t>
      </text>
    </comment>
    <comment authorId="0" ref="K332">
      <text>
        <t xml:space="preserve">Seguro y otros cargos fijos del mes.</t>
      </text>
    </comment>
    <comment authorId="0" ref="L332">
      <text>
        <t xml:space="preserve">Cuota base + cargos.</t>
      </text>
    </comment>
    <comment authorId="0" ref="M332">
      <text>
        <t xml:space="preserve">Capital final del calendario teórico. No equivale al saldo real si hay pagos parciales o atrasos.</t>
      </text>
    </comment>
    <comment authorId="0" ref="N332">
      <text>
        <t xml:space="preserve">Suma de pagos válidos del mismo ID y cuota con fecha igual o anterior al corte.</t>
      </text>
    </comment>
    <comment authorId="0" ref="O332">
      <text>
        <t xml:space="preserve">MIN(amortización pactada; MAX(0; pagado − cargos − interés)). No imputa excedentes a otras cuotas.</t>
      </text>
    </comment>
    <comment authorId="0" ref="P332">
      <text>
        <t xml:space="preserve">MAX(0; total pactado − pagado a esta cuota). Incluye capital, interés y cargos pendientes de ESA cuota.</t>
      </text>
    </comment>
    <comment authorId="0" ref="Q332">
      <text>
        <t xml:space="preserve">Días desde vencimiento hasta corte, solo si venció antes del corte y sigue con saldo.</t>
      </text>
    </comment>
    <comment authorId="0" ref="R332">
      <text>
        <t xml:space="preserve">MAX(0; pagado − cuota pactada). Exceso para revisar: no se traspasa a otra cuota.</t>
      </text>
    </comment>
    <comment authorId="0" ref="S332">
      <text>
        <t xml:space="preserve">Pagada, Vencida, Vence hoy, Por vencer o Exceso sin imputar según fecha y saldo al corte.</t>
      </text>
    </comment>
    <comment authorId="0" ref="T332">
      <text>
        <t xml:space="preserve">Auxiliar para encontrar la primera cuota pendiente. El 999999 indica que esta cuota no tiene saldo pendiente o está fuera del plazo, y no es una fecha real.</t>
      </text>
    </comment>
    <comment authorId="0" ref="C333">
      <text>
        <t xml:space="preserve">Crédito al que corresponde esta cuota.</t>
      </text>
    </comment>
    <comment authorId="0" ref="D333">
      <text>
        <t xml:space="preserve">Número de cuota dentro del crédito.</t>
      </text>
    </comment>
    <comment authorId="0" ref="E333">
      <text>
        <t xml:space="preserve">Fecha según EDATE a partir del primer vencimiento. No ajusta automáticamente feriados.</t>
      </text>
    </comment>
    <comment authorId="0" ref="F333">
      <text>
        <t xml:space="preserve">Capital al inicio del período en el calendario ORIGINAL, sin recalcular por pagos reales.</t>
      </text>
    </comment>
    <comment authorId="0" ref="G333">
      <text>
        <t xml:space="preserve">Tasa efectiva del mes según la base ingresada.</t>
      </text>
    </comment>
    <comment authorId="0" ref="H333">
      <text>
        <t xml:space="preserve">Interés del período = capital inicial × tasa mensual, redondeado a dos decimales.</t>
      </text>
    </comment>
    <comment authorId="0" ref="I333">
      <text>
        <t xml:space="preserve">Capital e interés pactados. La última cuota ajusta el saldo por redondeo.</t>
      </text>
    </comment>
    <comment authorId="0" ref="J333">
      <text>
        <t xml:space="preserve">Capital amortizado TEÓRICO = cuota base − interés, limitado al saldo.</t>
      </text>
    </comment>
    <comment authorId="0" ref="K333">
      <text>
        <t xml:space="preserve">Seguro y otros cargos fijos del mes.</t>
      </text>
    </comment>
    <comment authorId="0" ref="L333">
      <text>
        <t xml:space="preserve">Cuota base + cargos.</t>
      </text>
    </comment>
    <comment authorId="0" ref="M333">
      <text>
        <t xml:space="preserve">Capital final del calendario teórico. No equivale al saldo real si hay pagos parciales o atrasos.</t>
      </text>
    </comment>
    <comment authorId="0" ref="N333">
      <text>
        <t xml:space="preserve">Suma de pagos válidos del mismo ID y cuota con fecha igual o anterior al corte.</t>
      </text>
    </comment>
    <comment authorId="0" ref="O333">
      <text>
        <t xml:space="preserve">MIN(amortización pactada; MAX(0; pagado − cargos − interés)). No imputa excedentes a otras cuotas.</t>
      </text>
    </comment>
    <comment authorId="0" ref="P333">
      <text>
        <t xml:space="preserve">MAX(0; total pactado − pagado a esta cuota). Incluye capital, interés y cargos pendientes de ESA cuota.</t>
      </text>
    </comment>
    <comment authorId="0" ref="Q333">
      <text>
        <t xml:space="preserve">Días desde vencimiento hasta corte, solo si venció antes del corte y sigue con saldo.</t>
      </text>
    </comment>
    <comment authorId="0" ref="R333">
      <text>
        <t xml:space="preserve">MAX(0; pagado − cuota pactada). Exceso para revisar: no se traspasa a otra cuota.</t>
      </text>
    </comment>
    <comment authorId="0" ref="S333">
      <text>
        <t xml:space="preserve">Pagada, Vencida, Vence hoy, Por vencer o Exceso sin imputar según fecha y saldo al corte.</t>
      </text>
    </comment>
    <comment authorId="0" ref="T333">
      <text>
        <t xml:space="preserve">Auxiliar para encontrar la primera cuota pendiente. El 999999 indica que esta cuota no tiene saldo pendiente o está fuera del plazo, y no es una fecha real.</t>
      </text>
    </comment>
    <comment authorId="0" ref="C334">
      <text>
        <t xml:space="preserve">Crédito al que corresponde esta cuota.</t>
      </text>
    </comment>
    <comment authorId="0" ref="D334">
      <text>
        <t xml:space="preserve">Número de cuota dentro del crédito.</t>
      </text>
    </comment>
    <comment authorId="0" ref="E334">
      <text>
        <t xml:space="preserve">Fecha según EDATE a partir del primer vencimiento. No ajusta automáticamente feriados.</t>
      </text>
    </comment>
    <comment authorId="0" ref="F334">
      <text>
        <t xml:space="preserve">Capital al inicio del período en el calendario ORIGINAL, sin recalcular por pagos reales.</t>
      </text>
    </comment>
    <comment authorId="0" ref="G334">
      <text>
        <t xml:space="preserve">Tasa efectiva del mes según la base ingresada.</t>
      </text>
    </comment>
    <comment authorId="0" ref="H334">
      <text>
        <t xml:space="preserve">Interés del período = capital inicial × tasa mensual, redondeado a dos decimales.</t>
      </text>
    </comment>
    <comment authorId="0" ref="I334">
      <text>
        <t xml:space="preserve">Capital e interés pactados. La última cuota ajusta el saldo por redondeo.</t>
      </text>
    </comment>
    <comment authorId="0" ref="J334">
      <text>
        <t xml:space="preserve">Capital amortizado TEÓRICO = cuota base − interés, limitado al saldo.</t>
      </text>
    </comment>
    <comment authorId="0" ref="K334">
      <text>
        <t xml:space="preserve">Seguro y otros cargos fijos del mes.</t>
      </text>
    </comment>
    <comment authorId="0" ref="L334">
      <text>
        <t xml:space="preserve">Cuota base + cargos.</t>
      </text>
    </comment>
    <comment authorId="0" ref="M334">
      <text>
        <t xml:space="preserve">Capital final del calendario teórico. No equivale al saldo real si hay pagos parciales o atrasos.</t>
      </text>
    </comment>
    <comment authorId="0" ref="N334">
      <text>
        <t xml:space="preserve">Suma de pagos válidos del mismo ID y cuota con fecha igual o anterior al corte.</t>
      </text>
    </comment>
    <comment authorId="0" ref="O334">
      <text>
        <t xml:space="preserve">MIN(amortización pactada; MAX(0; pagado − cargos − interés)). No imputa excedentes a otras cuotas.</t>
      </text>
    </comment>
    <comment authorId="0" ref="P334">
      <text>
        <t xml:space="preserve">MAX(0; total pactado − pagado a esta cuota). Incluye capital, interés y cargos pendientes de ESA cuota.</t>
      </text>
    </comment>
    <comment authorId="0" ref="Q334">
      <text>
        <t xml:space="preserve">Días desde vencimiento hasta corte, solo si venció antes del corte y sigue con saldo.</t>
      </text>
    </comment>
    <comment authorId="0" ref="R334">
      <text>
        <t xml:space="preserve">MAX(0; pagado − cuota pactada). Exceso para revisar: no se traspasa a otra cuota.</t>
      </text>
    </comment>
    <comment authorId="0" ref="S334">
      <text>
        <t xml:space="preserve">Pagada, Vencida, Vence hoy, Por vencer o Exceso sin imputar según fecha y saldo al corte.</t>
      </text>
    </comment>
    <comment authorId="0" ref="T334">
      <text>
        <t xml:space="preserve">Auxiliar para encontrar la primera cuota pendiente. El 999999 indica que esta cuota no tiene saldo pendiente o está fuera del plazo, y no es una fecha real.</t>
      </text>
    </comment>
    <comment authorId="0" ref="C335">
      <text>
        <t xml:space="preserve">Crédito al que corresponde esta cuota.</t>
      </text>
    </comment>
    <comment authorId="0" ref="D335">
      <text>
        <t xml:space="preserve">Número de cuota dentro del crédito.</t>
      </text>
    </comment>
    <comment authorId="0" ref="E335">
      <text>
        <t xml:space="preserve">Fecha según EDATE a partir del primer vencimiento. No ajusta automáticamente feriados.</t>
      </text>
    </comment>
    <comment authorId="0" ref="F335">
      <text>
        <t xml:space="preserve">Capital al inicio del período en el calendario ORIGINAL, sin recalcular por pagos reales.</t>
      </text>
    </comment>
    <comment authorId="0" ref="G335">
      <text>
        <t xml:space="preserve">Tasa efectiva del mes según la base ingresada.</t>
      </text>
    </comment>
    <comment authorId="0" ref="H335">
      <text>
        <t xml:space="preserve">Interés del período = capital inicial × tasa mensual, redondeado a dos decimales.</t>
      </text>
    </comment>
    <comment authorId="0" ref="I335">
      <text>
        <t xml:space="preserve">Capital e interés pactados. La última cuota ajusta el saldo por redondeo.</t>
      </text>
    </comment>
    <comment authorId="0" ref="J335">
      <text>
        <t xml:space="preserve">Capital amortizado TEÓRICO = cuota base − interés, limitado al saldo.</t>
      </text>
    </comment>
    <comment authorId="0" ref="K335">
      <text>
        <t xml:space="preserve">Seguro y otros cargos fijos del mes.</t>
      </text>
    </comment>
    <comment authorId="0" ref="L335">
      <text>
        <t xml:space="preserve">Cuota base + cargos.</t>
      </text>
    </comment>
    <comment authorId="0" ref="M335">
      <text>
        <t xml:space="preserve">Capital final del calendario teórico. No equivale al saldo real si hay pagos parciales o atrasos.</t>
      </text>
    </comment>
    <comment authorId="0" ref="N335">
      <text>
        <t xml:space="preserve">Suma de pagos válidos del mismo ID y cuota con fecha igual o anterior al corte.</t>
      </text>
    </comment>
    <comment authorId="0" ref="O335">
      <text>
        <t xml:space="preserve">MIN(amortización pactada; MAX(0; pagado − cargos − interés)). No imputa excedentes a otras cuotas.</t>
      </text>
    </comment>
    <comment authorId="0" ref="P335">
      <text>
        <t xml:space="preserve">MAX(0; total pactado − pagado a esta cuota). Incluye capital, interés y cargos pendientes de ESA cuota.</t>
      </text>
    </comment>
    <comment authorId="0" ref="Q335">
      <text>
        <t xml:space="preserve">Días desde vencimiento hasta corte, solo si venció antes del corte y sigue con saldo.</t>
      </text>
    </comment>
    <comment authorId="0" ref="R335">
      <text>
        <t xml:space="preserve">MAX(0; pagado − cuota pactada). Exceso para revisar: no se traspasa a otra cuota.</t>
      </text>
    </comment>
    <comment authorId="0" ref="S335">
      <text>
        <t xml:space="preserve">Pagada, Vencida, Vence hoy, Por vencer o Exceso sin imputar según fecha y saldo al corte.</t>
      </text>
    </comment>
    <comment authorId="0" ref="T335">
      <text>
        <t xml:space="preserve">Auxiliar para encontrar la primera cuota pendiente. El 999999 indica que esta cuota no tiene saldo pendiente o está fuera del plazo, y no es una fecha real.</t>
      </text>
    </comment>
    <comment authorId="0" ref="C336">
      <text>
        <t xml:space="preserve">Crédito al que corresponde esta cuota.</t>
      </text>
    </comment>
    <comment authorId="0" ref="D336">
      <text>
        <t xml:space="preserve">Número de cuota dentro del crédito.</t>
      </text>
    </comment>
    <comment authorId="0" ref="E336">
      <text>
        <t xml:space="preserve">Fecha según EDATE a partir del primer vencimiento. No ajusta automáticamente feriados.</t>
      </text>
    </comment>
    <comment authorId="0" ref="F336">
      <text>
        <t xml:space="preserve">Capital al inicio del período en el calendario ORIGINAL, sin recalcular por pagos reales.</t>
      </text>
    </comment>
    <comment authorId="0" ref="G336">
      <text>
        <t xml:space="preserve">Tasa efectiva del mes según la base ingresada.</t>
      </text>
    </comment>
    <comment authorId="0" ref="H336">
      <text>
        <t xml:space="preserve">Interés del período = capital inicial × tasa mensual, redondeado a dos decimales.</t>
      </text>
    </comment>
    <comment authorId="0" ref="I336">
      <text>
        <t xml:space="preserve">Capital e interés pactados. La última cuota ajusta el saldo por redondeo.</t>
      </text>
    </comment>
    <comment authorId="0" ref="J336">
      <text>
        <t xml:space="preserve">Capital amortizado TEÓRICO = cuota base − interés, limitado al saldo.</t>
      </text>
    </comment>
    <comment authorId="0" ref="K336">
      <text>
        <t xml:space="preserve">Seguro y otros cargos fijos del mes.</t>
      </text>
    </comment>
    <comment authorId="0" ref="L336">
      <text>
        <t xml:space="preserve">Cuota base + cargos.</t>
      </text>
    </comment>
    <comment authorId="0" ref="M336">
      <text>
        <t xml:space="preserve">Capital final del calendario teórico. No equivale al saldo real si hay pagos parciales o atrasos.</t>
      </text>
    </comment>
    <comment authorId="0" ref="N336">
      <text>
        <t xml:space="preserve">Suma de pagos válidos del mismo ID y cuota con fecha igual o anterior al corte.</t>
      </text>
    </comment>
    <comment authorId="0" ref="O336">
      <text>
        <t xml:space="preserve">MIN(amortización pactada; MAX(0; pagado − cargos − interés)). No imputa excedentes a otras cuotas.</t>
      </text>
    </comment>
    <comment authorId="0" ref="P336">
      <text>
        <t xml:space="preserve">MAX(0; total pactado − pagado a esta cuota). Incluye capital, interés y cargos pendientes de ESA cuota.</t>
      </text>
    </comment>
    <comment authorId="0" ref="Q336">
      <text>
        <t xml:space="preserve">Días desde vencimiento hasta corte, solo si venció antes del corte y sigue con saldo.</t>
      </text>
    </comment>
    <comment authorId="0" ref="R336">
      <text>
        <t xml:space="preserve">MAX(0; pagado − cuota pactada). Exceso para revisar: no se traspasa a otra cuota.</t>
      </text>
    </comment>
    <comment authorId="0" ref="S336">
      <text>
        <t xml:space="preserve">Pagada, Vencida, Vence hoy, Por vencer o Exceso sin imputar según fecha y saldo al corte.</t>
      </text>
    </comment>
    <comment authorId="0" ref="T336">
      <text>
        <t xml:space="preserve">Auxiliar para encontrar la primera cuota pendiente. El 999999 indica que esta cuota no tiene saldo pendiente o está fuera del plazo, y no es una fecha real.</t>
      </text>
    </comment>
    <comment authorId="0" ref="C337">
      <text>
        <t xml:space="preserve">Crédito al que corresponde esta cuota.</t>
      </text>
    </comment>
    <comment authorId="0" ref="D337">
      <text>
        <t xml:space="preserve">Número de cuota dentro del crédito.</t>
      </text>
    </comment>
    <comment authorId="0" ref="E337">
      <text>
        <t xml:space="preserve">Fecha según EDATE a partir del primer vencimiento. No ajusta automáticamente feriados.</t>
      </text>
    </comment>
    <comment authorId="0" ref="F337">
      <text>
        <t xml:space="preserve">Capital al inicio del período en el calendario ORIGINAL, sin recalcular por pagos reales.</t>
      </text>
    </comment>
    <comment authorId="0" ref="G337">
      <text>
        <t xml:space="preserve">Tasa efectiva del mes según la base ingresada.</t>
      </text>
    </comment>
    <comment authorId="0" ref="H337">
      <text>
        <t xml:space="preserve">Interés del período = capital inicial × tasa mensual, redondeado a dos decimales.</t>
      </text>
    </comment>
    <comment authorId="0" ref="I337">
      <text>
        <t xml:space="preserve">Capital e interés pactados. La última cuota ajusta el saldo por redondeo.</t>
      </text>
    </comment>
    <comment authorId="0" ref="J337">
      <text>
        <t xml:space="preserve">Capital amortizado TEÓRICO = cuota base − interés, limitado al saldo.</t>
      </text>
    </comment>
    <comment authorId="0" ref="K337">
      <text>
        <t xml:space="preserve">Seguro y otros cargos fijos del mes.</t>
      </text>
    </comment>
    <comment authorId="0" ref="L337">
      <text>
        <t xml:space="preserve">Cuota base + cargos.</t>
      </text>
    </comment>
    <comment authorId="0" ref="M337">
      <text>
        <t xml:space="preserve">Capital final del calendario teórico. No equivale al saldo real si hay pagos parciales o atrasos.</t>
      </text>
    </comment>
    <comment authorId="0" ref="N337">
      <text>
        <t xml:space="preserve">Suma de pagos válidos del mismo ID y cuota con fecha igual o anterior al corte.</t>
      </text>
    </comment>
    <comment authorId="0" ref="O337">
      <text>
        <t xml:space="preserve">MIN(amortización pactada; MAX(0; pagado − cargos − interés)). No imputa excedentes a otras cuotas.</t>
      </text>
    </comment>
    <comment authorId="0" ref="P337">
      <text>
        <t xml:space="preserve">MAX(0; total pactado − pagado a esta cuota). Incluye capital, interés y cargos pendientes de ESA cuota.</t>
      </text>
    </comment>
    <comment authorId="0" ref="Q337">
      <text>
        <t xml:space="preserve">Días desde vencimiento hasta corte, solo si venció antes del corte y sigue con saldo.</t>
      </text>
    </comment>
    <comment authorId="0" ref="R337">
      <text>
        <t xml:space="preserve">MAX(0; pagado − cuota pactada). Exceso para revisar: no se traspasa a otra cuota.</t>
      </text>
    </comment>
    <comment authorId="0" ref="S337">
      <text>
        <t xml:space="preserve">Pagada, Vencida, Vence hoy, Por vencer o Exceso sin imputar según fecha y saldo al corte.</t>
      </text>
    </comment>
    <comment authorId="0" ref="T337">
      <text>
        <t xml:space="preserve">Auxiliar para encontrar la primera cuota pendiente. El 999999 indica que esta cuota no tiene saldo pendiente o está fuera del plazo, y no es una fecha real.</t>
      </text>
    </comment>
    <comment authorId="0" ref="C338">
      <text>
        <t xml:space="preserve">Crédito al que corresponde esta cuota.</t>
      </text>
    </comment>
    <comment authorId="0" ref="D338">
      <text>
        <t xml:space="preserve">Número de cuota dentro del crédito.</t>
      </text>
    </comment>
    <comment authorId="0" ref="E338">
      <text>
        <t xml:space="preserve">Fecha según EDATE a partir del primer vencimiento. No ajusta automáticamente feriados.</t>
      </text>
    </comment>
    <comment authorId="0" ref="F338">
      <text>
        <t xml:space="preserve">Capital al inicio del período en el calendario ORIGINAL, sin recalcular por pagos reales.</t>
      </text>
    </comment>
    <comment authorId="0" ref="G338">
      <text>
        <t xml:space="preserve">Tasa efectiva del mes según la base ingresada.</t>
      </text>
    </comment>
    <comment authorId="0" ref="H338">
      <text>
        <t xml:space="preserve">Interés del período = capital inicial × tasa mensual, redondeado a dos decimales.</t>
      </text>
    </comment>
    <comment authorId="0" ref="I338">
      <text>
        <t xml:space="preserve">Capital e interés pactados. La última cuota ajusta el saldo por redondeo.</t>
      </text>
    </comment>
    <comment authorId="0" ref="J338">
      <text>
        <t xml:space="preserve">Capital amortizado TEÓRICO = cuota base − interés, limitado al saldo.</t>
      </text>
    </comment>
    <comment authorId="0" ref="K338">
      <text>
        <t xml:space="preserve">Seguro y otros cargos fijos del mes.</t>
      </text>
    </comment>
    <comment authorId="0" ref="L338">
      <text>
        <t xml:space="preserve">Cuota base + cargos.</t>
      </text>
    </comment>
    <comment authorId="0" ref="M338">
      <text>
        <t xml:space="preserve">Capital final del calendario teórico. No equivale al saldo real si hay pagos parciales o atrasos.</t>
      </text>
    </comment>
    <comment authorId="0" ref="N338">
      <text>
        <t xml:space="preserve">Suma de pagos válidos del mismo ID y cuota con fecha igual o anterior al corte.</t>
      </text>
    </comment>
    <comment authorId="0" ref="O338">
      <text>
        <t xml:space="preserve">MIN(amortización pactada; MAX(0; pagado − cargos − interés)). No imputa excedentes a otras cuotas.</t>
      </text>
    </comment>
    <comment authorId="0" ref="P338">
      <text>
        <t xml:space="preserve">MAX(0; total pactado − pagado a esta cuota). Incluye capital, interés y cargos pendientes de ESA cuota.</t>
      </text>
    </comment>
    <comment authorId="0" ref="Q338">
      <text>
        <t xml:space="preserve">Días desde vencimiento hasta corte, solo si venció antes del corte y sigue con saldo.</t>
      </text>
    </comment>
    <comment authorId="0" ref="R338">
      <text>
        <t xml:space="preserve">MAX(0; pagado − cuota pactada). Exceso para revisar: no se traspasa a otra cuota.</t>
      </text>
    </comment>
    <comment authorId="0" ref="S338">
      <text>
        <t xml:space="preserve">Pagada, Vencida, Vence hoy, Por vencer o Exceso sin imputar según fecha y saldo al corte.</t>
      </text>
    </comment>
    <comment authorId="0" ref="T338">
      <text>
        <t xml:space="preserve">Auxiliar para encontrar la primera cuota pendiente. El 999999 indica que esta cuota no tiene saldo pendiente o está fuera del plazo, y no es una fecha real.</t>
      </text>
    </comment>
    <comment authorId="0" ref="C339">
      <text>
        <t xml:space="preserve">Crédito al que corresponde esta cuota.</t>
      </text>
    </comment>
    <comment authorId="0" ref="D339">
      <text>
        <t xml:space="preserve">Número de cuota dentro del crédito.</t>
      </text>
    </comment>
    <comment authorId="0" ref="E339">
      <text>
        <t xml:space="preserve">Fecha según EDATE a partir del primer vencimiento. No ajusta automáticamente feriados.</t>
      </text>
    </comment>
    <comment authorId="0" ref="F339">
      <text>
        <t xml:space="preserve">Capital al inicio del período en el calendario ORIGINAL, sin recalcular por pagos reales.</t>
      </text>
    </comment>
    <comment authorId="0" ref="G339">
      <text>
        <t xml:space="preserve">Tasa efectiva del mes según la base ingresada.</t>
      </text>
    </comment>
    <comment authorId="0" ref="H339">
      <text>
        <t xml:space="preserve">Interés del período = capital inicial × tasa mensual, redondeado a dos decimales.</t>
      </text>
    </comment>
    <comment authorId="0" ref="I339">
      <text>
        <t xml:space="preserve">Capital e interés pactados. La última cuota ajusta el saldo por redondeo.</t>
      </text>
    </comment>
    <comment authorId="0" ref="J339">
      <text>
        <t xml:space="preserve">Capital amortizado TEÓRICO = cuota base − interés, limitado al saldo.</t>
      </text>
    </comment>
    <comment authorId="0" ref="K339">
      <text>
        <t xml:space="preserve">Seguro y otros cargos fijos del mes.</t>
      </text>
    </comment>
    <comment authorId="0" ref="L339">
      <text>
        <t xml:space="preserve">Cuota base + cargos.</t>
      </text>
    </comment>
    <comment authorId="0" ref="M339">
      <text>
        <t xml:space="preserve">Capital final del calendario teórico. No equivale al saldo real si hay pagos parciales o atrasos.</t>
      </text>
    </comment>
    <comment authorId="0" ref="N339">
      <text>
        <t xml:space="preserve">Suma de pagos válidos del mismo ID y cuota con fecha igual o anterior al corte.</t>
      </text>
    </comment>
    <comment authorId="0" ref="O339">
      <text>
        <t xml:space="preserve">MIN(amortización pactada; MAX(0; pagado − cargos − interés)). No imputa excedentes a otras cuotas.</t>
      </text>
    </comment>
    <comment authorId="0" ref="P339">
      <text>
        <t xml:space="preserve">MAX(0; total pactado − pagado a esta cuota). Incluye capital, interés y cargos pendientes de ESA cuota.</t>
      </text>
    </comment>
    <comment authorId="0" ref="Q339">
      <text>
        <t xml:space="preserve">Días desde vencimiento hasta corte, solo si venció antes del corte y sigue con saldo.</t>
      </text>
    </comment>
    <comment authorId="0" ref="R339">
      <text>
        <t xml:space="preserve">MAX(0; pagado − cuota pactada). Exceso para revisar: no se traspasa a otra cuota.</t>
      </text>
    </comment>
    <comment authorId="0" ref="S339">
      <text>
        <t xml:space="preserve">Pagada, Vencida, Vence hoy, Por vencer o Exceso sin imputar según fecha y saldo al corte.</t>
      </text>
    </comment>
    <comment authorId="0" ref="T339">
      <text>
        <t xml:space="preserve">Auxiliar para encontrar la primera cuota pendiente. El 999999 indica que esta cuota no tiene saldo pendiente o está fuera del plazo, y no es una fecha real.</t>
      </text>
    </comment>
    <comment authorId="0" ref="C340">
      <text>
        <t xml:space="preserve">Crédito al que corresponde esta cuota.</t>
      </text>
    </comment>
    <comment authorId="0" ref="D340">
      <text>
        <t xml:space="preserve">Número de cuota dentro del crédito.</t>
      </text>
    </comment>
    <comment authorId="0" ref="E340">
      <text>
        <t xml:space="preserve">Fecha según EDATE a partir del primer vencimiento. No ajusta automáticamente feriados.</t>
      </text>
    </comment>
    <comment authorId="0" ref="F340">
      <text>
        <t xml:space="preserve">Capital al inicio del período en el calendario ORIGINAL, sin recalcular por pagos reales.</t>
      </text>
    </comment>
    <comment authorId="0" ref="G340">
      <text>
        <t xml:space="preserve">Tasa efectiva del mes según la base ingresada.</t>
      </text>
    </comment>
    <comment authorId="0" ref="H340">
      <text>
        <t xml:space="preserve">Interés del período = capital inicial × tasa mensual, redondeado a dos decimales.</t>
      </text>
    </comment>
    <comment authorId="0" ref="I340">
      <text>
        <t xml:space="preserve">Capital e interés pactados. La última cuota ajusta el saldo por redondeo.</t>
      </text>
    </comment>
    <comment authorId="0" ref="J340">
      <text>
        <t xml:space="preserve">Capital amortizado TEÓRICO = cuota base − interés, limitado al saldo.</t>
      </text>
    </comment>
    <comment authorId="0" ref="K340">
      <text>
        <t xml:space="preserve">Seguro y otros cargos fijos del mes.</t>
      </text>
    </comment>
    <comment authorId="0" ref="L340">
      <text>
        <t xml:space="preserve">Cuota base + cargos.</t>
      </text>
    </comment>
    <comment authorId="0" ref="M340">
      <text>
        <t xml:space="preserve">Capital final del calendario teórico. No equivale al saldo real si hay pagos parciales o atrasos.</t>
      </text>
    </comment>
    <comment authorId="0" ref="N340">
      <text>
        <t xml:space="preserve">Suma de pagos válidos del mismo ID y cuota con fecha igual o anterior al corte.</t>
      </text>
    </comment>
    <comment authorId="0" ref="O340">
      <text>
        <t xml:space="preserve">MIN(amortización pactada; MAX(0; pagado − cargos − interés)). No imputa excedentes a otras cuotas.</t>
      </text>
    </comment>
    <comment authorId="0" ref="P340">
      <text>
        <t xml:space="preserve">MAX(0; total pactado − pagado a esta cuota). Incluye capital, interés y cargos pendientes de ESA cuota.</t>
      </text>
    </comment>
    <comment authorId="0" ref="Q340">
      <text>
        <t xml:space="preserve">Días desde vencimiento hasta corte, solo si venció antes del corte y sigue con saldo.</t>
      </text>
    </comment>
    <comment authorId="0" ref="R340">
      <text>
        <t xml:space="preserve">MAX(0; pagado − cuota pactada). Exceso para revisar: no se traspasa a otra cuota.</t>
      </text>
    </comment>
    <comment authorId="0" ref="S340">
      <text>
        <t xml:space="preserve">Pagada, Vencida, Vence hoy, Por vencer o Exceso sin imputar según fecha y saldo al corte.</t>
      </text>
    </comment>
    <comment authorId="0" ref="T340">
      <text>
        <t xml:space="preserve">Auxiliar para encontrar la primera cuota pendiente. El 999999 indica que esta cuota no tiene saldo pendiente o está fuera del plazo, y no es una fecha real.</t>
      </text>
    </comment>
    <comment authorId="0" ref="C341">
      <text>
        <t xml:space="preserve">Crédito al que corresponde esta cuota.</t>
      </text>
    </comment>
    <comment authorId="0" ref="D341">
      <text>
        <t xml:space="preserve">Número de cuota dentro del crédito.</t>
      </text>
    </comment>
    <comment authorId="0" ref="E341">
      <text>
        <t xml:space="preserve">Fecha según EDATE a partir del primer vencimiento. No ajusta automáticamente feriados.</t>
      </text>
    </comment>
    <comment authorId="0" ref="F341">
      <text>
        <t xml:space="preserve">Capital al inicio del período en el calendario ORIGINAL, sin recalcular por pagos reales.</t>
      </text>
    </comment>
    <comment authorId="0" ref="G341">
      <text>
        <t xml:space="preserve">Tasa efectiva del mes según la base ingresada.</t>
      </text>
    </comment>
    <comment authorId="0" ref="H341">
      <text>
        <t xml:space="preserve">Interés del período = capital inicial × tasa mensual, redondeado a dos decimales.</t>
      </text>
    </comment>
    <comment authorId="0" ref="I341">
      <text>
        <t xml:space="preserve">Capital e interés pactados. La última cuota ajusta el saldo por redondeo.</t>
      </text>
    </comment>
    <comment authorId="0" ref="J341">
      <text>
        <t xml:space="preserve">Capital amortizado TEÓRICO = cuota base − interés, limitado al saldo.</t>
      </text>
    </comment>
    <comment authorId="0" ref="K341">
      <text>
        <t xml:space="preserve">Seguro y otros cargos fijos del mes.</t>
      </text>
    </comment>
    <comment authorId="0" ref="L341">
      <text>
        <t xml:space="preserve">Cuota base + cargos.</t>
      </text>
    </comment>
    <comment authorId="0" ref="M341">
      <text>
        <t xml:space="preserve">Capital final del calendario teórico. No equivale al saldo real si hay pagos parciales o atrasos.</t>
      </text>
    </comment>
    <comment authorId="0" ref="N341">
      <text>
        <t xml:space="preserve">Suma de pagos válidos del mismo ID y cuota con fecha igual o anterior al corte.</t>
      </text>
    </comment>
    <comment authorId="0" ref="O341">
      <text>
        <t xml:space="preserve">MIN(amortización pactada; MAX(0; pagado − cargos − interés)). No imputa excedentes a otras cuotas.</t>
      </text>
    </comment>
    <comment authorId="0" ref="P341">
      <text>
        <t xml:space="preserve">MAX(0; total pactado − pagado a esta cuota). Incluye capital, interés y cargos pendientes de ESA cuota.</t>
      </text>
    </comment>
    <comment authorId="0" ref="Q341">
      <text>
        <t xml:space="preserve">Días desde vencimiento hasta corte, solo si venció antes del corte y sigue con saldo.</t>
      </text>
    </comment>
    <comment authorId="0" ref="R341">
      <text>
        <t xml:space="preserve">MAX(0; pagado − cuota pactada). Exceso para revisar: no se traspasa a otra cuota.</t>
      </text>
    </comment>
    <comment authorId="0" ref="S341">
      <text>
        <t xml:space="preserve">Pagada, Vencida, Vence hoy, Por vencer o Exceso sin imputar según fecha y saldo al corte.</t>
      </text>
    </comment>
    <comment authorId="0" ref="T341">
      <text>
        <t xml:space="preserve">Auxiliar para encontrar la primera cuota pendiente. El 999999 indica que esta cuota no tiene saldo pendiente o está fuera del plazo, y no es una fecha real.</t>
      </text>
    </comment>
    <comment authorId="0" ref="C342">
      <text>
        <t xml:space="preserve">Crédito al que corresponde esta cuota.</t>
      </text>
    </comment>
    <comment authorId="0" ref="D342">
      <text>
        <t xml:space="preserve">Número de cuota dentro del crédito.</t>
      </text>
    </comment>
    <comment authorId="0" ref="E342">
      <text>
        <t xml:space="preserve">Fecha según EDATE a partir del primer vencimiento. No ajusta automáticamente feriados.</t>
      </text>
    </comment>
    <comment authorId="0" ref="F342">
      <text>
        <t xml:space="preserve">Capital al inicio del período en el calendario ORIGINAL, sin recalcular por pagos reales.</t>
      </text>
    </comment>
    <comment authorId="0" ref="G342">
      <text>
        <t xml:space="preserve">Tasa efectiva del mes según la base ingresada.</t>
      </text>
    </comment>
    <comment authorId="0" ref="H342">
      <text>
        <t xml:space="preserve">Interés del período = capital inicial × tasa mensual, redondeado a dos decimales.</t>
      </text>
    </comment>
    <comment authorId="0" ref="I342">
      <text>
        <t xml:space="preserve">Capital e interés pactados. La última cuota ajusta el saldo por redondeo.</t>
      </text>
    </comment>
    <comment authorId="0" ref="J342">
      <text>
        <t xml:space="preserve">Capital amortizado TEÓRICO = cuota base − interés, limitado al saldo.</t>
      </text>
    </comment>
    <comment authorId="0" ref="K342">
      <text>
        <t xml:space="preserve">Seguro y otros cargos fijos del mes.</t>
      </text>
    </comment>
    <comment authorId="0" ref="L342">
      <text>
        <t xml:space="preserve">Cuota base + cargos.</t>
      </text>
    </comment>
    <comment authorId="0" ref="M342">
      <text>
        <t xml:space="preserve">Capital final del calendario teórico. No equivale al saldo real si hay pagos parciales o atrasos.</t>
      </text>
    </comment>
    <comment authorId="0" ref="N342">
      <text>
        <t xml:space="preserve">Suma de pagos válidos del mismo ID y cuota con fecha igual o anterior al corte.</t>
      </text>
    </comment>
    <comment authorId="0" ref="O342">
      <text>
        <t xml:space="preserve">MIN(amortización pactada; MAX(0; pagado − cargos − interés)). No imputa excedentes a otras cuotas.</t>
      </text>
    </comment>
    <comment authorId="0" ref="P342">
      <text>
        <t xml:space="preserve">MAX(0; total pactado − pagado a esta cuota). Incluye capital, interés y cargos pendientes de ESA cuota.</t>
      </text>
    </comment>
    <comment authorId="0" ref="Q342">
      <text>
        <t xml:space="preserve">Días desde vencimiento hasta corte, solo si venció antes del corte y sigue con saldo.</t>
      </text>
    </comment>
    <comment authorId="0" ref="R342">
      <text>
        <t xml:space="preserve">MAX(0; pagado − cuota pactada). Exceso para revisar: no se traspasa a otra cuota.</t>
      </text>
    </comment>
    <comment authorId="0" ref="S342">
      <text>
        <t xml:space="preserve">Pagada, Vencida, Vence hoy, Por vencer o Exceso sin imputar según fecha y saldo al corte.</t>
      </text>
    </comment>
    <comment authorId="0" ref="T342">
      <text>
        <t xml:space="preserve">Auxiliar para encontrar la primera cuota pendiente. El 999999 indica que esta cuota no tiene saldo pendiente o está fuera del plazo, y no es una fecha real.</t>
      </text>
    </comment>
    <comment authorId="0" ref="C343">
      <text>
        <t xml:space="preserve">Crédito al que corresponde esta cuota.</t>
      </text>
    </comment>
    <comment authorId="0" ref="D343">
      <text>
        <t xml:space="preserve">Número de cuota dentro del crédito.</t>
      </text>
    </comment>
    <comment authorId="0" ref="E343">
      <text>
        <t xml:space="preserve">Fecha según EDATE a partir del primer vencimiento. No ajusta automáticamente feriados.</t>
      </text>
    </comment>
    <comment authorId="0" ref="F343">
      <text>
        <t xml:space="preserve">Capital al inicio del período en el calendario ORIGINAL, sin recalcular por pagos reales.</t>
      </text>
    </comment>
    <comment authorId="0" ref="G343">
      <text>
        <t xml:space="preserve">Tasa efectiva del mes según la base ingresada.</t>
      </text>
    </comment>
    <comment authorId="0" ref="H343">
      <text>
        <t xml:space="preserve">Interés del período = capital inicial × tasa mensual, redondeado a dos decimales.</t>
      </text>
    </comment>
    <comment authorId="0" ref="I343">
      <text>
        <t xml:space="preserve">Capital e interés pactados. La última cuota ajusta el saldo por redondeo.</t>
      </text>
    </comment>
    <comment authorId="0" ref="J343">
      <text>
        <t xml:space="preserve">Capital amortizado TEÓRICO = cuota base − interés, limitado al saldo.</t>
      </text>
    </comment>
    <comment authorId="0" ref="K343">
      <text>
        <t xml:space="preserve">Seguro y otros cargos fijos del mes.</t>
      </text>
    </comment>
    <comment authorId="0" ref="L343">
      <text>
        <t xml:space="preserve">Cuota base + cargos.</t>
      </text>
    </comment>
    <comment authorId="0" ref="M343">
      <text>
        <t xml:space="preserve">Capital final del calendario teórico. No equivale al saldo real si hay pagos parciales o atrasos.</t>
      </text>
    </comment>
    <comment authorId="0" ref="N343">
      <text>
        <t xml:space="preserve">Suma de pagos válidos del mismo ID y cuota con fecha igual o anterior al corte.</t>
      </text>
    </comment>
    <comment authorId="0" ref="O343">
      <text>
        <t xml:space="preserve">MIN(amortización pactada; MAX(0; pagado − cargos − interés)). No imputa excedentes a otras cuotas.</t>
      </text>
    </comment>
    <comment authorId="0" ref="P343">
      <text>
        <t xml:space="preserve">MAX(0; total pactado − pagado a esta cuota). Incluye capital, interés y cargos pendientes de ESA cuota.</t>
      </text>
    </comment>
    <comment authorId="0" ref="Q343">
      <text>
        <t xml:space="preserve">Días desde vencimiento hasta corte, solo si venció antes del corte y sigue con saldo.</t>
      </text>
    </comment>
    <comment authorId="0" ref="R343">
      <text>
        <t xml:space="preserve">MAX(0; pagado − cuota pactada). Exceso para revisar: no se traspasa a otra cuota.</t>
      </text>
    </comment>
    <comment authorId="0" ref="S343">
      <text>
        <t xml:space="preserve">Pagada, Vencida, Vence hoy, Por vencer o Exceso sin imputar según fecha y saldo al corte.</t>
      </text>
    </comment>
    <comment authorId="0" ref="T343">
      <text>
        <t xml:space="preserve">Auxiliar para encontrar la primera cuota pendiente. El 999999 indica que esta cuota no tiene saldo pendiente o está fuera del plazo, y no es una fecha real.</t>
      </text>
    </comment>
    <comment authorId="0" ref="C344">
      <text>
        <t xml:space="preserve">Crédito al que corresponde esta cuota.</t>
      </text>
    </comment>
    <comment authorId="0" ref="D344">
      <text>
        <t xml:space="preserve">Número de cuota dentro del crédito.</t>
      </text>
    </comment>
    <comment authorId="0" ref="E344">
      <text>
        <t xml:space="preserve">Fecha según EDATE a partir del primer vencimiento. No ajusta automáticamente feriados.</t>
      </text>
    </comment>
    <comment authorId="0" ref="F344">
      <text>
        <t xml:space="preserve">Capital al inicio del período en el calendario ORIGINAL, sin recalcular por pagos reales.</t>
      </text>
    </comment>
    <comment authorId="0" ref="G344">
      <text>
        <t xml:space="preserve">Tasa efectiva del mes según la base ingresada.</t>
      </text>
    </comment>
    <comment authorId="0" ref="H344">
      <text>
        <t xml:space="preserve">Interés del período = capital inicial × tasa mensual, redondeado a dos decimales.</t>
      </text>
    </comment>
    <comment authorId="0" ref="I344">
      <text>
        <t xml:space="preserve">Capital e interés pactados. La última cuota ajusta el saldo por redondeo.</t>
      </text>
    </comment>
    <comment authorId="0" ref="J344">
      <text>
        <t xml:space="preserve">Capital amortizado TEÓRICO = cuota base − interés, limitado al saldo.</t>
      </text>
    </comment>
    <comment authorId="0" ref="K344">
      <text>
        <t xml:space="preserve">Seguro y otros cargos fijos del mes.</t>
      </text>
    </comment>
    <comment authorId="0" ref="L344">
      <text>
        <t xml:space="preserve">Cuota base + cargos.</t>
      </text>
    </comment>
    <comment authorId="0" ref="M344">
      <text>
        <t xml:space="preserve">Capital final del calendario teórico. No equivale al saldo real si hay pagos parciales o atrasos.</t>
      </text>
    </comment>
    <comment authorId="0" ref="N344">
      <text>
        <t xml:space="preserve">Suma de pagos válidos del mismo ID y cuota con fecha igual o anterior al corte.</t>
      </text>
    </comment>
    <comment authorId="0" ref="O344">
      <text>
        <t xml:space="preserve">MIN(amortización pactada; MAX(0; pagado − cargos − interés)). No imputa excedentes a otras cuotas.</t>
      </text>
    </comment>
    <comment authorId="0" ref="P344">
      <text>
        <t xml:space="preserve">MAX(0; total pactado − pagado a esta cuota). Incluye capital, interés y cargos pendientes de ESA cuota.</t>
      </text>
    </comment>
    <comment authorId="0" ref="Q344">
      <text>
        <t xml:space="preserve">Días desde vencimiento hasta corte, solo si venció antes del corte y sigue con saldo.</t>
      </text>
    </comment>
    <comment authorId="0" ref="R344">
      <text>
        <t xml:space="preserve">MAX(0; pagado − cuota pactada). Exceso para revisar: no se traspasa a otra cuota.</t>
      </text>
    </comment>
    <comment authorId="0" ref="S344">
      <text>
        <t xml:space="preserve">Pagada, Vencida, Vence hoy, Por vencer o Exceso sin imputar según fecha y saldo al corte.</t>
      </text>
    </comment>
    <comment authorId="0" ref="T344">
      <text>
        <t xml:space="preserve">Auxiliar para encontrar la primera cuota pendiente. El 999999 indica que esta cuota no tiene saldo pendiente o está fuera del plazo, y no es una fecha real.</t>
      </text>
    </comment>
    <comment authorId="0" ref="C345">
      <text>
        <t xml:space="preserve">Crédito al que corresponde esta cuota.</t>
      </text>
    </comment>
    <comment authorId="0" ref="D345">
      <text>
        <t xml:space="preserve">Número de cuota dentro del crédito.</t>
      </text>
    </comment>
    <comment authorId="0" ref="E345">
      <text>
        <t xml:space="preserve">Fecha según EDATE a partir del primer vencimiento. No ajusta automáticamente feriados.</t>
      </text>
    </comment>
    <comment authorId="0" ref="F345">
      <text>
        <t xml:space="preserve">Capital al inicio del período en el calendario ORIGINAL, sin recalcular por pagos reales.</t>
      </text>
    </comment>
    <comment authorId="0" ref="G345">
      <text>
        <t xml:space="preserve">Tasa efectiva del mes según la base ingresada.</t>
      </text>
    </comment>
    <comment authorId="0" ref="H345">
      <text>
        <t xml:space="preserve">Interés del período = capital inicial × tasa mensual, redondeado a dos decimales.</t>
      </text>
    </comment>
    <comment authorId="0" ref="I345">
      <text>
        <t xml:space="preserve">Capital e interés pactados. La última cuota ajusta el saldo por redondeo.</t>
      </text>
    </comment>
    <comment authorId="0" ref="J345">
      <text>
        <t xml:space="preserve">Capital amortizado TEÓRICO = cuota base − interés, limitado al saldo.</t>
      </text>
    </comment>
    <comment authorId="0" ref="K345">
      <text>
        <t xml:space="preserve">Seguro y otros cargos fijos del mes.</t>
      </text>
    </comment>
    <comment authorId="0" ref="L345">
      <text>
        <t xml:space="preserve">Cuota base + cargos.</t>
      </text>
    </comment>
    <comment authorId="0" ref="M345">
      <text>
        <t xml:space="preserve">Capital final del calendario teórico. No equivale al saldo real si hay pagos parciales o atrasos.</t>
      </text>
    </comment>
    <comment authorId="0" ref="N345">
      <text>
        <t xml:space="preserve">Suma de pagos válidos del mismo ID y cuota con fecha igual o anterior al corte.</t>
      </text>
    </comment>
    <comment authorId="0" ref="O345">
      <text>
        <t xml:space="preserve">MIN(amortización pactada; MAX(0; pagado − cargos − interés)). No imputa excedentes a otras cuotas.</t>
      </text>
    </comment>
    <comment authorId="0" ref="P345">
      <text>
        <t xml:space="preserve">MAX(0; total pactado − pagado a esta cuota). Incluye capital, interés y cargos pendientes de ESA cuota.</t>
      </text>
    </comment>
    <comment authorId="0" ref="Q345">
      <text>
        <t xml:space="preserve">Días desde vencimiento hasta corte, solo si venció antes del corte y sigue con saldo.</t>
      </text>
    </comment>
    <comment authorId="0" ref="R345">
      <text>
        <t xml:space="preserve">MAX(0; pagado − cuota pactada). Exceso para revisar: no se traspasa a otra cuota.</t>
      </text>
    </comment>
    <comment authorId="0" ref="S345">
      <text>
        <t xml:space="preserve">Pagada, Vencida, Vence hoy, Por vencer o Exceso sin imputar según fecha y saldo al corte.</t>
      </text>
    </comment>
    <comment authorId="0" ref="T345">
      <text>
        <t xml:space="preserve">Auxiliar para encontrar la primera cuota pendiente. El 999999 indica que esta cuota no tiene saldo pendiente o está fuera del plazo, y no es una fecha real.</t>
      </text>
    </comment>
    <comment authorId="0" ref="C346">
      <text>
        <t xml:space="preserve">Crédito al que corresponde esta cuota.</t>
      </text>
    </comment>
    <comment authorId="0" ref="D346">
      <text>
        <t xml:space="preserve">Número de cuota dentro del crédito.</t>
      </text>
    </comment>
    <comment authorId="0" ref="E346">
      <text>
        <t xml:space="preserve">Fecha según EDATE a partir del primer vencimiento. No ajusta automáticamente feriados.</t>
      </text>
    </comment>
    <comment authorId="0" ref="F346">
      <text>
        <t xml:space="preserve">Capital al inicio del período en el calendario ORIGINAL, sin recalcular por pagos reales.</t>
      </text>
    </comment>
    <comment authorId="0" ref="G346">
      <text>
        <t xml:space="preserve">Tasa efectiva del mes según la base ingresada.</t>
      </text>
    </comment>
    <comment authorId="0" ref="H346">
      <text>
        <t xml:space="preserve">Interés del período = capital inicial × tasa mensual, redondeado a dos decimales.</t>
      </text>
    </comment>
    <comment authorId="0" ref="I346">
      <text>
        <t xml:space="preserve">Capital e interés pactados. La última cuota ajusta el saldo por redondeo.</t>
      </text>
    </comment>
    <comment authorId="0" ref="J346">
      <text>
        <t xml:space="preserve">Capital amortizado TEÓRICO = cuota base − interés, limitado al saldo.</t>
      </text>
    </comment>
    <comment authorId="0" ref="K346">
      <text>
        <t xml:space="preserve">Seguro y otros cargos fijos del mes.</t>
      </text>
    </comment>
    <comment authorId="0" ref="L346">
      <text>
        <t xml:space="preserve">Cuota base + cargos.</t>
      </text>
    </comment>
    <comment authorId="0" ref="M346">
      <text>
        <t xml:space="preserve">Capital final del calendario teórico. No equivale al saldo real si hay pagos parciales o atrasos.</t>
      </text>
    </comment>
    <comment authorId="0" ref="N346">
      <text>
        <t xml:space="preserve">Suma de pagos válidos del mismo ID y cuota con fecha igual o anterior al corte.</t>
      </text>
    </comment>
    <comment authorId="0" ref="O346">
      <text>
        <t xml:space="preserve">MIN(amortización pactada; MAX(0; pagado − cargos − interés)). No imputa excedentes a otras cuotas.</t>
      </text>
    </comment>
    <comment authorId="0" ref="P346">
      <text>
        <t xml:space="preserve">MAX(0; total pactado − pagado a esta cuota). Incluye capital, interés y cargos pendientes de ESA cuota.</t>
      </text>
    </comment>
    <comment authorId="0" ref="Q346">
      <text>
        <t xml:space="preserve">Días desde vencimiento hasta corte, solo si venció antes del corte y sigue con saldo.</t>
      </text>
    </comment>
    <comment authorId="0" ref="R346">
      <text>
        <t xml:space="preserve">MAX(0; pagado − cuota pactada). Exceso para revisar: no se traspasa a otra cuota.</t>
      </text>
    </comment>
    <comment authorId="0" ref="S346">
      <text>
        <t xml:space="preserve">Pagada, Vencida, Vence hoy, Por vencer o Exceso sin imputar según fecha y saldo al corte.</t>
      </text>
    </comment>
    <comment authorId="0" ref="T346">
      <text>
        <t xml:space="preserve">Auxiliar para encontrar la primera cuota pendiente. El 999999 indica que esta cuota no tiene saldo pendiente o está fuera del plazo, y no es una fecha real.</t>
      </text>
    </comment>
    <comment authorId="0" ref="C347">
      <text>
        <t xml:space="preserve">Crédito al que corresponde esta cuota.</t>
      </text>
    </comment>
    <comment authorId="0" ref="D347">
      <text>
        <t xml:space="preserve">Número de cuota dentro del crédito.</t>
      </text>
    </comment>
    <comment authorId="0" ref="E347">
      <text>
        <t xml:space="preserve">Fecha según EDATE a partir del primer vencimiento. No ajusta automáticamente feriados.</t>
      </text>
    </comment>
    <comment authorId="0" ref="F347">
      <text>
        <t xml:space="preserve">Capital al inicio del período en el calendario ORIGINAL, sin recalcular por pagos reales.</t>
      </text>
    </comment>
    <comment authorId="0" ref="G347">
      <text>
        <t xml:space="preserve">Tasa efectiva del mes según la base ingresada.</t>
      </text>
    </comment>
    <comment authorId="0" ref="H347">
      <text>
        <t xml:space="preserve">Interés del período = capital inicial × tasa mensual, redondeado a dos decimales.</t>
      </text>
    </comment>
    <comment authorId="0" ref="I347">
      <text>
        <t xml:space="preserve">Capital e interés pactados. La última cuota ajusta el saldo por redondeo.</t>
      </text>
    </comment>
    <comment authorId="0" ref="J347">
      <text>
        <t xml:space="preserve">Capital amortizado TEÓRICO = cuota base − interés, limitado al saldo.</t>
      </text>
    </comment>
    <comment authorId="0" ref="K347">
      <text>
        <t xml:space="preserve">Seguro y otros cargos fijos del mes.</t>
      </text>
    </comment>
    <comment authorId="0" ref="L347">
      <text>
        <t xml:space="preserve">Cuota base + cargos.</t>
      </text>
    </comment>
    <comment authorId="0" ref="M347">
      <text>
        <t xml:space="preserve">Capital final del calendario teórico. No equivale al saldo real si hay pagos parciales o atrasos.</t>
      </text>
    </comment>
    <comment authorId="0" ref="N347">
      <text>
        <t xml:space="preserve">Suma de pagos válidos del mismo ID y cuota con fecha igual o anterior al corte.</t>
      </text>
    </comment>
    <comment authorId="0" ref="O347">
      <text>
        <t xml:space="preserve">MIN(amortización pactada; MAX(0; pagado − cargos − interés)). No imputa excedentes a otras cuotas.</t>
      </text>
    </comment>
    <comment authorId="0" ref="P347">
      <text>
        <t xml:space="preserve">MAX(0; total pactado − pagado a esta cuota). Incluye capital, interés y cargos pendientes de ESA cuota.</t>
      </text>
    </comment>
    <comment authorId="0" ref="Q347">
      <text>
        <t xml:space="preserve">Días desde vencimiento hasta corte, solo si venció antes del corte y sigue con saldo.</t>
      </text>
    </comment>
    <comment authorId="0" ref="R347">
      <text>
        <t xml:space="preserve">MAX(0; pagado − cuota pactada). Exceso para revisar: no se traspasa a otra cuota.</t>
      </text>
    </comment>
    <comment authorId="0" ref="S347">
      <text>
        <t xml:space="preserve">Pagada, Vencida, Vence hoy, Por vencer o Exceso sin imputar según fecha y saldo al corte.</t>
      </text>
    </comment>
    <comment authorId="0" ref="T347">
      <text>
        <t xml:space="preserve">Auxiliar para encontrar la primera cuota pendiente. El 999999 indica que esta cuota no tiene saldo pendiente o está fuera del plazo, y no es una fecha real.</t>
      </text>
    </comment>
    <comment authorId="0" ref="C348">
      <text>
        <t xml:space="preserve">Crédito al que corresponde esta cuota.</t>
      </text>
    </comment>
    <comment authorId="0" ref="D348">
      <text>
        <t xml:space="preserve">Número de cuota dentro del crédito.</t>
      </text>
    </comment>
    <comment authorId="0" ref="E348">
      <text>
        <t xml:space="preserve">Fecha según EDATE a partir del primer vencimiento. No ajusta automáticamente feriados.</t>
      </text>
    </comment>
    <comment authorId="0" ref="F348">
      <text>
        <t xml:space="preserve">Capital al inicio del período en el calendario ORIGINAL, sin recalcular por pagos reales.</t>
      </text>
    </comment>
    <comment authorId="0" ref="G348">
      <text>
        <t xml:space="preserve">Tasa efectiva del mes según la base ingresada.</t>
      </text>
    </comment>
    <comment authorId="0" ref="H348">
      <text>
        <t xml:space="preserve">Interés del período = capital inicial × tasa mensual, redondeado a dos decimales.</t>
      </text>
    </comment>
    <comment authorId="0" ref="I348">
      <text>
        <t xml:space="preserve">Capital e interés pactados. La última cuota ajusta el saldo por redondeo.</t>
      </text>
    </comment>
    <comment authorId="0" ref="J348">
      <text>
        <t xml:space="preserve">Capital amortizado TEÓRICO = cuota base − interés, limitado al saldo.</t>
      </text>
    </comment>
    <comment authorId="0" ref="K348">
      <text>
        <t xml:space="preserve">Seguro y otros cargos fijos del mes.</t>
      </text>
    </comment>
    <comment authorId="0" ref="L348">
      <text>
        <t xml:space="preserve">Cuota base + cargos.</t>
      </text>
    </comment>
    <comment authorId="0" ref="M348">
      <text>
        <t xml:space="preserve">Capital final del calendario teórico. No equivale al saldo real si hay pagos parciales o atrasos.</t>
      </text>
    </comment>
    <comment authorId="0" ref="N348">
      <text>
        <t xml:space="preserve">Suma de pagos válidos del mismo ID y cuota con fecha igual o anterior al corte.</t>
      </text>
    </comment>
    <comment authorId="0" ref="O348">
      <text>
        <t xml:space="preserve">MIN(amortización pactada; MAX(0; pagado − cargos − interés)). No imputa excedentes a otras cuotas.</t>
      </text>
    </comment>
    <comment authorId="0" ref="P348">
      <text>
        <t xml:space="preserve">MAX(0; total pactado − pagado a esta cuota). Incluye capital, interés y cargos pendientes de ESA cuota.</t>
      </text>
    </comment>
    <comment authorId="0" ref="Q348">
      <text>
        <t xml:space="preserve">Días desde vencimiento hasta corte, solo si venció antes del corte y sigue con saldo.</t>
      </text>
    </comment>
    <comment authorId="0" ref="R348">
      <text>
        <t xml:space="preserve">MAX(0; pagado − cuota pactada). Exceso para revisar: no se traspasa a otra cuota.</t>
      </text>
    </comment>
    <comment authorId="0" ref="S348">
      <text>
        <t xml:space="preserve">Pagada, Vencida, Vence hoy, Por vencer o Exceso sin imputar según fecha y saldo al corte.</t>
      </text>
    </comment>
    <comment authorId="0" ref="T348">
      <text>
        <t xml:space="preserve">Auxiliar para encontrar la primera cuota pendiente. El 999999 indica que esta cuota no tiene saldo pendiente o está fuera del plazo, y no es una fecha real.</t>
      </text>
    </comment>
    <comment authorId="0" ref="C349">
      <text>
        <t xml:space="preserve">Crédito al que corresponde esta cuota.</t>
      </text>
    </comment>
    <comment authorId="0" ref="D349">
      <text>
        <t xml:space="preserve">Número de cuota dentro del crédito.</t>
      </text>
    </comment>
    <comment authorId="0" ref="E349">
      <text>
        <t xml:space="preserve">Fecha según EDATE a partir del primer vencimiento. No ajusta automáticamente feriados.</t>
      </text>
    </comment>
    <comment authorId="0" ref="F349">
      <text>
        <t xml:space="preserve">Capital al inicio del período en el calendario ORIGINAL, sin recalcular por pagos reales.</t>
      </text>
    </comment>
    <comment authorId="0" ref="G349">
      <text>
        <t xml:space="preserve">Tasa efectiva del mes según la base ingresada.</t>
      </text>
    </comment>
    <comment authorId="0" ref="H349">
      <text>
        <t xml:space="preserve">Interés del período = capital inicial × tasa mensual, redondeado a dos decimales.</t>
      </text>
    </comment>
    <comment authorId="0" ref="I349">
      <text>
        <t xml:space="preserve">Capital e interés pactados. La última cuota ajusta el saldo por redondeo.</t>
      </text>
    </comment>
    <comment authorId="0" ref="J349">
      <text>
        <t xml:space="preserve">Capital amortizado TEÓRICO = cuota base − interés, limitado al saldo.</t>
      </text>
    </comment>
    <comment authorId="0" ref="K349">
      <text>
        <t xml:space="preserve">Seguro y otros cargos fijos del mes.</t>
      </text>
    </comment>
    <comment authorId="0" ref="L349">
      <text>
        <t xml:space="preserve">Cuota base + cargos.</t>
      </text>
    </comment>
    <comment authorId="0" ref="M349">
      <text>
        <t xml:space="preserve">Capital final del calendario teórico. No equivale al saldo real si hay pagos parciales o atrasos.</t>
      </text>
    </comment>
    <comment authorId="0" ref="N349">
      <text>
        <t xml:space="preserve">Suma de pagos válidos del mismo ID y cuota con fecha igual o anterior al corte.</t>
      </text>
    </comment>
    <comment authorId="0" ref="O349">
      <text>
        <t xml:space="preserve">MIN(amortización pactada; MAX(0; pagado − cargos − interés)). No imputa excedentes a otras cuotas.</t>
      </text>
    </comment>
    <comment authorId="0" ref="P349">
      <text>
        <t xml:space="preserve">MAX(0; total pactado − pagado a esta cuota). Incluye capital, interés y cargos pendientes de ESA cuota.</t>
      </text>
    </comment>
    <comment authorId="0" ref="Q349">
      <text>
        <t xml:space="preserve">Días desde vencimiento hasta corte, solo si venció antes del corte y sigue con saldo.</t>
      </text>
    </comment>
    <comment authorId="0" ref="R349">
      <text>
        <t xml:space="preserve">MAX(0; pagado − cuota pactada). Exceso para revisar: no se traspasa a otra cuota.</t>
      </text>
    </comment>
    <comment authorId="0" ref="S349">
      <text>
        <t xml:space="preserve">Pagada, Vencida, Vence hoy, Por vencer o Exceso sin imputar según fecha y saldo al corte.</t>
      </text>
    </comment>
    <comment authorId="0" ref="T349">
      <text>
        <t xml:space="preserve">Auxiliar para encontrar la primera cuota pendiente. El 999999 indica que esta cuota no tiene saldo pendiente o está fuera del plazo, y no es una fecha real.</t>
      </text>
    </comment>
    <comment authorId="0" ref="C350">
      <text>
        <t xml:space="preserve">Crédito al que corresponde esta cuota.</t>
      </text>
    </comment>
    <comment authorId="0" ref="D350">
      <text>
        <t xml:space="preserve">Número de cuota dentro del crédito.</t>
      </text>
    </comment>
    <comment authorId="0" ref="E350">
      <text>
        <t xml:space="preserve">Fecha según EDATE a partir del primer vencimiento. No ajusta automáticamente feriados.</t>
      </text>
    </comment>
    <comment authorId="0" ref="F350">
      <text>
        <t xml:space="preserve">Capital al inicio del período en el calendario ORIGINAL, sin recalcular por pagos reales.</t>
      </text>
    </comment>
    <comment authorId="0" ref="G350">
      <text>
        <t xml:space="preserve">Tasa efectiva del mes según la base ingresada.</t>
      </text>
    </comment>
    <comment authorId="0" ref="H350">
      <text>
        <t xml:space="preserve">Interés del período = capital inicial × tasa mensual, redondeado a dos decimales.</t>
      </text>
    </comment>
    <comment authorId="0" ref="I350">
      <text>
        <t xml:space="preserve">Capital e interés pactados. La última cuota ajusta el saldo por redondeo.</t>
      </text>
    </comment>
    <comment authorId="0" ref="J350">
      <text>
        <t xml:space="preserve">Capital amortizado TEÓRICO = cuota base − interés, limitado al saldo.</t>
      </text>
    </comment>
    <comment authorId="0" ref="K350">
      <text>
        <t xml:space="preserve">Seguro y otros cargos fijos del mes.</t>
      </text>
    </comment>
    <comment authorId="0" ref="L350">
      <text>
        <t xml:space="preserve">Cuota base + cargos.</t>
      </text>
    </comment>
    <comment authorId="0" ref="M350">
      <text>
        <t xml:space="preserve">Capital final del calendario teórico. No equivale al saldo real si hay pagos parciales o atrasos.</t>
      </text>
    </comment>
    <comment authorId="0" ref="N350">
      <text>
        <t xml:space="preserve">Suma de pagos válidos del mismo ID y cuota con fecha igual o anterior al corte.</t>
      </text>
    </comment>
    <comment authorId="0" ref="O350">
      <text>
        <t xml:space="preserve">MIN(amortización pactada; MAX(0; pagado − cargos − interés)). No imputa excedentes a otras cuotas.</t>
      </text>
    </comment>
    <comment authorId="0" ref="P350">
      <text>
        <t xml:space="preserve">MAX(0; total pactado − pagado a esta cuota). Incluye capital, interés y cargos pendientes de ESA cuota.</t>
      </text>
    </comment>
    <comment authorId="0" ref="Q350">
      <text>
        <t xml:space="preserve">Días desde vencimiento hasta corte, solo si venció antes del corte y sigue con saldo.</t>
      </text>
    </comment>
    <comment authorId="0" ref="R350">
      <text>
        <t xml:space="preserve">MAX(0; pagado − cuota pactada). Exceso para revisar: no se traspasa a otra cuota.</t>
      </text>
    </comment>
    <comment authorId="0" ref="S350">
      <text>
        <t xml:space="preserve">Pagada, Vencida, Vence hoy, Por vencer o Exceso sin imputar según fecha y saldo al corte.</t>
      </text>
    </comment>
    <comment authorId="0" ref="T350">
      <text>
        <t xml:space="preserve">Auxiliar para encontrar la primera cuota pendiente. El 999999 indica que esta cuota no tiene saldo pendiente o está fuera del plazo, y no es una fecha real.</t>
      </text>
    </comment>
    <comment authorId="0" ref="C351">
      <text>
        <t xml:space="preserve">Crédito al que corresponde esta cuota.</t>
      </text>
    </comment>
    <comment authorId="0" ref="D351">
      <text>
        <t xml:space="preserve">Número de cuota dentro del crédito.</t>
      </text>
    </comment>
    <comment authorId="0" ref="E351">
      <text>
        <t xml:space="preserve">Fecha según EDATE a partir del primer vencimiento. No ajusta automáticamente feriados.</t>
      </text>
    </comment>
    <comment authorId="0" ref="F351">
      <text>
        <t xml:space="preserve">Capital al inicio del período en el calendario ORIGINAL, sin recalcular por pagos reales.</t>
      </text>
    </comment>
    <comment authorId="0" ref="G351">
      <text>
        <t xml:space="preserve">Tasa efectiva del mes según la base ingresada.</t>
      </text>
    </comment>
    <comment authorId="0" ref="H351">
      <text>
        <t xml:space="preserve">Interés del período = capital inicial × tasa mensual, redondeado a dos decimales.</t>
      </text>
    </comment>
    <comment authorId="0" ref="I351">
      <text>
        <t xml:space="preserve">Capital e interés pactados. La última cuota ajusta el saldo por redondeo.</t>
      </text>
    </comment>
    <comment authorId="0" ref="J351">
      <text>
        <t xml:space="preserve">Capital amortizado TEÓRICO = cuota base − interés, limitado al saldo.</t>
      </text>
    </comment>
    <comment authorId="0" ref="K351">
      <text>
        <t xml:space="preserve">Seguro y otros cargos fijos del mes.</t>
      </text>
    </comment>
    <comment authorId="0" ref="L351">
      <text>
        <t xml:space="preserve">Cuota base + cargos.</t>
      </text>
    </comment>
    <comment authorId="0" ref="M351">
      <text>
        <t xml:space="preserve">Capital final del calendario teórico. No equivale al saldo real si hay pagos parciales o atrasos.</t>
      </text>
    </comment>
    <comment authorId="0" ref="N351">
      <text>
        <t xml:space="preserve">Suma de pagos válidos del mismo ID y cuota con fecha igual o anterior al corte.</t>
      </text>
    </comment>
    <comment authorId="0" ref="O351">
      <text>
        <t xml:space="preserve">MIN(amortización pactada; MAX(0; pagado − cargos − interés)). No imputa excedentes a otras cuotas.</t>
      </text>
    </comment>
    <comment authorId="0" ref="P351">
      <text>
        <t xml:space="preserve">MAX(0; total pactado − pagado a esta cuota). Incluye capital, interés y cargos pendientes de ESA cuota.</t>
      </text>
    </comment>
    <comment authorId="0" ref="Q351">
      <text>
        <t xml:space="preserve">Días desde vencimiento hasta corte, solo si venció antes del corte y sigue con saldo.</t>
      </text>
    </comment>
    <comment authorId="0" ref="R351">
      <text>
        <t xml:space="preserve">MAX(0; pagado − cuota pactada). Exceso para revisar: no se traspasa a otra cuota.</t>
      </text>
    </comment>
    <comment authorId="0" ref="S351">
      <text>
        <t xml:space="preserve">Pagada, Vencida, Vence hoy, Por vencer o Exceso sin imputar según fecha y saldo al corte.</t>
      </text>
    </comment>
    <comment authorId="0" ref="T351">
      <text>
        <t xml:space="preserve">Auxiliar para encontrar la primera cuota pendiente. El 999999 indica que esta cuota no tiene saldo pendiente o está fuera del plazo, y no es una fecha real.</t>
      </text>
    </comment>
    <comment authorId="0" ref="C352">
      <text>
        <t xml:space="preserve">Crédito al que corresponde esta cuota.</t>
      </text>
    </comment>
    <comment authorId="0" ref="D352">
      <text>
        <t xml:space="preserve">Número de cuota dentro del crédito.</t>
      </text>
    </comment>
    <comment authorId="0" ref="E352">
      <text>
        <t xml:space="preserve">Fecha según EDATE a partir del primer vencimiento. No ajusta automáticamente feriados.</t>
      </text>
    </comment>
    <comment authorId="0" ref="F352">
      <text>
        <t xml:space="preserve">Capital al inicio del período en el calendario ORIGINAL, sin recalcular por pagos reales.</t>
      </text>
    </comment>
    <comment authorId="0" ref="G352">
      <text>
        <t xml:space="preserve">Tasa efectiva del mes según la base ingresada.</t>
      </text>
    </comment>
    <comment authorId="0" ref="H352">
      <text>
        <t xml:space="preserve">Interés del período = capital inicial × tasa mensual, redondeado a dos decimales.</t>
      </text>
    </comment>
    <comment authorId="0" ref="I352">
      <text>
        <t xml:space="preserve">Capital e interés pactados. La última cuota ajusta el saldo por redondeo.</t>
      </text>
    </comment>
    <comment authorId="0" ref="J352">
      <text>
        <t xml:space="preserve">Capital amortizado TEÓRICO = cuota base − interés, limitado al saldo.</t>
      </text>
    </comment>
    <comment authorId="0" ref="K352">
      <text>
        <t xml:space="preserve">Seguro y otros cargos fijos del mes.</t>
      </text>
    </comment>
    <comment authorId="0" ref="L352">
      <text>
        <t xml:space="preserve">Cuota base + cargos.</t>
      </text>
    </comment>
    <comment authorId="0" ref="M352">
      <text>
        <t xml:space="preserve">Capital final del calendario teórico. No equivale al saldo real si hay pagos parciales o atrasos.</t>
      </text>
    </comment>
    <comment authorId="0" ref="N352">
      <text>
        <t xml:space="preserve">Suma de pagos válidos del mismo ID y cuota con fecha igual o anterior al corte.</t>
      </text>
    </comment>
    <comment authorId="0" ref="O352">
      <text>
        <t xml:space="preserve">MIN(amortización pactada; MAX(0; pagado − cargos − interés)). No imputa excedentes a otras cuotas.</t>
      </text>
    </comment>
    <comment authorId="0" ref="P352">
      <text>
        <t xml:space="preserve">MAX(0; total pactado − pagado a esta cuota). Incluye capital, interés y cargos pendientes de ESA cuota.</t>
      </text>
    </comment>
    <comment authorId="0" ref="Q352">
      <text>
        <t xml:space="preserve">Días desde vencimiento hasta corte, solo si venció antes del corte y sigue con saldo.</t>
      </text>
    </comment>
    <comment authorId="0" ref="R352">
      <text>
        <t xml:space="preserve">MAX(0; pagado − cuota pactada). Exceso para revisar: no se traspasa a otra cuota.</t>
      </text>
    </comment>
    <comment authorId="0" ref="S352">
      <text>
        <t xml:space="preserve">Pagada, Vencida, Vence hoy, Por vencer o Exceso sin imputar según fecha y saldo al corte.</t>
      </text>
    </comment>
    <comment authorId="0" ref="T352">
      <text>
        <t xml:space="preserve">Auxiliar para encontrar la primera cuota pendiente. El 999999 indica que esta cuota no tiene saldo pendiente o está fuera del plazo, y no es una fecha real.</t>
      </text>
    </comment>
    <comment authorId="0" ref="C353">
      <text>
        <t xml:space="preserve">Crédito al que corresponde esta cuota.</t>
      </text>
    </comment>
    <comment authorId="0" ref="D353">
      <text>
        <t xml:space="preserve">Número de cuota dentro del crédito.</t>
      </text>
    </comment>
    <comment authorId="0" ref="E353">
      <text>
        <t xml:space="preserve">Fecha según EDATE a partir del primer vencimiento. No ajusta automáticamente feriados.</t>
      </text>
    </comment>
    <comment authorId="0" ref="F353">
      <text>
        <t xml:space="preserve">Capital al inicio del período en el calendario ORIGINAL, sin recalcular por pagos reales.</t>
      </text>
    </comment>
    <comment authorId="0" ref="G353">
      <text>
        <t xml:space="preserve">Tasa efectiva del mes según la base ingresada.</t>
      </text>
    </comment>
    <comment authorId="0" ref="H353">
      <text>
        <t xml:space="preserve">Interés del período = capital inicial × tasa mensual, redondeado a dos decimales.</t>
      </text>
    </comment>
    <comment authorId="0" ref="I353">
      <text>
        <t xml:space="preserve">Capital e interés pactados. La última cuota ajusta el saldo por redondeo.</t>
      </text>
    </comment>
    <comment authorId="0" ref="J353">
      <text>
        <t xml:space="preserve">Capital amortizado TEÓRICO = cuota base − interés, limitado al saldo.</t>
      </text>
    </comment>
    <comment authorId="0" ref="K353">
      <text>
        <t xml:space="preserve">Seguro y otros cargos fijos del mes.</t>
      </text>
    </comment>
    <comment authorId="0" ref="L353">
      <text>
        <t xml:space="preserve">Cuota base + cargos.</t>
      </text>
    </comment>
    <comment authorId="0" ref="M353">
      <text>
        <t xml:space="preserve">Capital final del calendario teórico. No equivale al saldo real si hay pagos parciales o atrasos.</t>
      </text>
    </comment>
    <comment authorId="0" ref="N353">
      <text>
        <t xml:space="preserve">Suma de pagos válidos del mismo ID y cuota con fecha igual o anterior al corte.</t>
      </text>
    </comment>
    <comment authorId="0" ref="O353">
      <text>
        <t xml:space="preserve">MIN(amortización pactada; MAX(0; pagado − cargos − interés)). No imputa excedentes a otras cuotas.</t>
      </text>
    </comment>
    <comment authorId="0" ref="P353">
      <text>
        <t xml:space="preserve">MAX(0; total pactado − pagado a esta cuota). Incluye capital, interés y cargos pendientes de ESA cuota.</t>
      </text>
    </comment>
    <comment authorId="0" ref="Q353">
      <text>
        <t xml:space="preserve">Días desde vencimiento hasta corte, solo si venció antes del corte y sigue con saldo.</t>
      </text>
    </comment>
    <comment authorId="0" ref="R353">
      <text>
        <t xml:space="preserve">MAX(0; pagado − cuota pactada). Exceso para revisar: no se traspasa a otra cuota.</t>
      </text>
    </comment>
    <comment authorId="0" ref="S353">
      <text>
        <t xml:space="preserve">Pagada, Vencida, Vence hoy, Por vencer o Exceso sin imputar según fecha y saldo al corte.</t>
      </text>
    </comment>
    <comment authorId="0" ref="T353">
      <text>
        <t xml:space="preserve">Auxiliar para encontrar la primera cuota pendiente. El 999999 indica que esta cuota no tiene saldo pendiente o está fuera del plazo, y no es una fecha real.</t>
      </text>
    </comment>
    <comment authorId="0" ref="C354">
      <text>
        <t xml:space="preserve">Crédito al que corresponde esta cuota.</t>
      </text>
    </comment>
    <comment authorId="0" ref="D354">
      <text>
        <t xml:space="preserve">Número de cuota dentro del crédito.</t>
      </text>
    </comment>
    <comment authorId="0" ref="E354">
      <text>
        <t xml:space="preserve">Fecha según EDATE a partir del primer vencimiento. No ajusta automáticamente feriados.</t>
      </text>
    </comment>
    <comment authorId="0" ref="F354">
      <text>
        <t xml:space="preserve">Capital al inicio del período en el calendario ORIGINAL, sin recalcular por pagos reales.</t>
      </text>
    </comment>
    <comment authorId="0" ref="G354">
      <text>
        <t xml:space="preserve">Tasa efectiva del mes según la base ingresada.</t>
      </text>
    </comment>
    <comment authorId="0" ref="H354">
      <text>
        <t xml:space="preserve">Interés del período = capital inicial × tasa mensual, redondeado a dos decimales.</t>
      </text>
    </comment>
    <comment authorId="0" ref="I354">
      <text>
        <t xml:space="preserve">Capital e interés pactados. La última cuota ajusta el saldo por redondeo.</t>
      </text>
    </comment>
    <comment authorId="0" ref="J354">
      <text>
        <t xml:space="preserve">Capital amortizado TEÓRICO = cuota base − interés, limitado al saldo.</t>
      </text>
    </comment>
    <comment authorId="0" ref="K354">
      <text>
        <t xml:space="preserve">Seguro y otros cargos fijos del mes.</t>
      </text>
    </comment>
    <comment authorId="0" ref="L354">
      <text>
        <t xml:space="preserve">Cuota base + cargos.</t>
      </text>
    </comment>
    <comment authorId="0" ref="M354">
      <text>
        <t xml:space="preserve">Capital final del calendario teórico. No equivale al saldo real si hay pagos parciales o atrasos.</t>
      </text>
    </comment>
    <comment authorId="0" ref="N354">
      <text>
        <t xml:space="preserve">Suma de pagos válidos del mismo ID y cuota con fecha igual o anterior al corte.</t>
      </text>
    </comment>
    <comment authorId="0" ref="O354">
      <text>
        <t xml:space="preserve">MIN(amortización pactada; MAX(0; pagado − cargos − interés)). No imputa excedentes a otras cuotas.</t>
      </text>
    </comment>
    <comment authorId="0" ref="P354">
      <text>
        <t xml:space="preserve">MAX(0; total pactado − pagado a esta cuota). Incluye capital, interés y cargos pendientes de ESA cuota.</t>
      </text>
    </comment>
    <comment authorId="0" ref="Q354">
      <text>
        <t xml:space="preserve">Días desde vencimiento hasta corte, solo si venció antes del corte y sigue con saldo.</t>
      </text>
    </comment>
    <comment authorId="0" ref="R354">
      <text>
        <t xml:space="preserve">MAX(0; pagado − cuota pactada). Exceso para revisar: no se traspasa a otra cuota.</t>
      </text>
    </comment>
    <comment authorId="0" ref="S354">
      <text>
        <t xml:space="preserve">Pagada, Vencida, Vence hoy, Por vencer o Exceso sin imputar según fecha y saldo al corte.</t>
      </text>
    </comment>
    <comment authorId="0" ref="T354">
      <text>
        <t xml:space="preserve">Auxiliar para encontrar la primera cuota pendiente. El 999999 indica que esta cuota no tiene saldo pendiente o está fuera del plazo, y no es una fecha real.</t>
      </text>
    </comment>
    <comment authorId="0" ref="C355">
      <text>
        <t xml:space="preserve">Crédito al que corresponde esta cuota.</t>
      </text>
    </comment>
    <comment authorId="0" ref="D355">
      <text>
        <t xml:space="preserve">Número de cuota dentro del crédito.</t>
      </text>
    </comment>
    <comment authorId="0" ref="E355">
      <text>
        <t xml:space="preserve">Fecha según EDATE a partir del primer vencimiento. No ajusta automáticamente feriados.</t>
      </text>
    </comment>
    <comment authorId="0" ref="F355">
      <text>
        <t xml:space="preserve">Capital al inicio del período en el calendario ORIGINAL, sin recalcular por pagos reales.</t>
      </text>
    </comment>
    <comment authorId="0" ref="G355">
      <text>
        <t xml:space="preserve">Tasa efectiva del mes según la base ingresada.</t>
      </text>
    </comment>
    <comment authorId="0" ref="H355">
      <text>
        <t xml:space="preserve">Interés del período = capital inicial × tasa mensual, redondeado a dos decimales.</t>
      </text>
    </comment>
    <comment authorId="0" ref="I355">
      <text>
        <t xml:space="preserve">Capital e interés pactados. La última cuota ajusta el saldo por redondeo.</t>
      </text>
    </comment>
    <comment authorId="0" ref="J355">
      <text>
        <t xml:space="preserve">Capital amortizado TEÓRICO = cuota base − interés, limitado al saldo.</t>
      </text>
    </comment>
    <comment authorId="0" ref="K355">
      <text>
        <t xml:space="preserve">Seguro y otros cargos fijos del mes.</t>
      </text>
    </comment>
    <comment authorId="0" ref="L355">
      <text>
        <t xml:space="preserve">Cuota base + cargos.</t>
      </text>
    </comment>
    <comment authorId="0" ref="M355">
      <text>
        <t xml:space="preserve">Capital final del calendario teórico. No equivale al saldo real si hay pagos parciales o atrasos.</t>
      </text>
    </comment>
    <comment authorId="0" ref="N355">
      <text>
        <t xml:space="preserve">Suma de pagos válidos del mismo ID y cuota con fecha igual o anterior al corte.</t>
      </text>
    </comment>
    <comment authorId="0" ref="O355">
      <text>
        <t xml:space="preserve">MIN(amortización pactada; MAX(0; pagado − cargos − interés)). No imputa excedentes a otras cuotas.</t>
      </text>
    </comment>
    <comment authorId="0" ref="P355">
      <text>
        <t xml:space="preserve">MAX(0; total pactado − pagado a esta cuota). Incluye capital, interés y cargos pendientes de ESA cuota.</t>
      </text>
    </comment>
    <comment authorId="0" ref="Q355">
      <text>
        <t xml:space="preserve">Días desde vencimiento hasta corte, solo si venció antes del corte y sigue con saldo.</t>
      </text>
    </comment>
    <comment authorId="0" ref="R355">
      <text>
        <t xml:space="preserve">MAX(0; pagado − cuota pactada). Exceso para revisar: no se traspasa a otra cuota.</t>
      </text>
    </comment>
    <comment authorId="0" ref="S355">
      <text>
        <t xml:space="preserve">Pagada, Vencida, Vence hoy, Por vencer o Exceso sin imputar según fecha y saldo al corte.</t>
      </text>
    </comment>
    <comment authorId="0" ref="T355">
      <text>
        <t xml:space="preserve">Auxiliar para encontrar la primera cuota pendiente. El 999999 indica que esta cuota no tiene saldo pendiente o está fuera del plazo, y no es una fecha real.</t>
      </text>
    </comment>
    <comment authorId="0" ref="C356">
      <text>
        <t xml:space="preserve">Crédito al que corresponde esta cuota.</t>
      </text>
    </comment>
    <comment authorId="0" ref="D356">
      <text>
        <t xml:space="preserve">Número de cuota dentro del crédito.</t>
      </text>
    </comment>
    <comment authorId="0" ref="E356">
      <text>
        <t xml:space="preserve">Fecha según EDATE a partir del primer vencimiento. No ajusta automáticamente feriados.</t>
      </text>
    </comment>
    <comment authorId="0" ref="F356">
      <text>
        <t xml:space="preserve">Capital al inicio del período en el calendario ORIGINAL, sin recalcular por pagos reales.</t>
      </text>
    </comment>
    <comment authorId="0" ref="G356">
      <text>
        <t xml:space="preserve">Tasa efectiva del mes según la base ingresada.</t>
      </text>
    </comment>
    <comment authorId="0" ref="H356">
      <text>
        <t xml:space="preserve">Interés del período = capital inicial × tasa mensual, redondeado a dos decimales.</t>
      </text>
    </comment>
    <comment authorId="0" ref="I356">
      <text>
        <t xml:space="preserve">Capital e interés pactados. La última cuota ajusta el saldo por redondeo.</t>
      </text>
    </comment>
    <comment authorId="0" ref="J356">
      <text>
        <t xml:space="preserve">Capital amortizado TEÓRICO = cuota base − interés, limitado al saldo.</t>
      </text>
    </comment>
    <comment authorId="0" ref="K356">
      <text>
        <t xml:space="preserve">Seguro y otros cargos fijos del mes.</t>
      </text>
    </comment>
    <comment authorId="0" ref="L356">
      <text>
        <t xml:space="preserve">Cuota base + cargos.</t>
      </text>
    </comment>
    <comment authorId="0" ref="M356">
      <text>
        <t xml:space="preserve">Capital final del calendario teórico. No equivale al saldo real si hay pagos parciales o atrasos.</t>
      </text>
    </comment>
    <comment authorId="0" ref="N356">
      <text>
        <t xml:space="preserve">Suma de pagos válidos del mismo ID y cuota con fecha igual o anterior al corte.</t>
      </text>
    </comment>
    <comment authorId="0" ref="O356">
      <text>
        <t xml:space="preserve">MIN(amortización pactada; MAX(0; pagado − cargos − interés)). No imputa excedentes a otras cuotas.</t>
      </text>
    </comment>
    <comment authorId="0" ref="P356">
      <text>
        <t xml:space="preserve">MAX(0; total pactado − pagado a esta cuota). Incluye capital, interés y cargos pendientes de ESA cuota.</t>
      </text>
    </comment>
    <comment authorId="0" ref="Q356">
      <text>
        <t xml:space="preserve">Días desde vencimiento hasta corte, solo si venció antes del corte y sigue con saldo.</t>
      </text>
    </comment>
    <comment authorId="0" ref="R356">
      <text>
        <t xml:space="preserve">MAX(0; pagado − cuota pactada). Exceso para revisar: no se traspasa a otra cuota.</t>
      </text>
    </comment>
    <comment authorId="0" ref="S356">
      <text>
        <t xml:space="preserve">Pagada, Vencida, Vence hoy, Por vencer o Exceso sin imputar según fecha y saldo al corte.</t>
      </text>
    </comment>
    <comment authorId="0" ref="T356">
      <text>
        <t xml:space="preserve">Auxiliar para encontrar la primera cuota pendiente. El 999999 indica que esta cuota no tiene saldo pendiente o está fuera del plazo, y no es una fecha real.</t>
      </text>
    </comment>
    <comment authorId="0" ref="C357">
      <text>
        <t xml:space="preserve">Crédito al que corresponde esta cuota.</t>
      </text>
    </comment>
    <comment authorId="0" ref="D357">
      <text>
        <t xml:space="preserve">Número de cuota dentro del crédito.</t>
      </text>
    </comment>
    <comment authorId="0" ref="E357">
      <text>
        <t xml:space="preserve">Fecha según EDATE a partir del primer vencimiento. No ajusta automáticamente feriados.</t>
      </text>
    </comment>
    <comment authorId="0" ref="F357">
      <text>
        <t xml:space="preserve">Capital al inicio del período en el calendario ORIGINAL, sin recalcular por pagos reales.</t>
      </text>
    </comment>
    <comment authorId="0" ref="G357">
      <text>
        <t xml:space="preserve">Tasa efectiva del mes según la base ingresada.</t>
      </text>
    </comment>
    <comment authorId="0" ref="H357">
      <text>
        <t xml:space="preserve">Interés del período = capital inicial × tasa mensual, redondeado a dos decimales.</t>
      </text>
    </comment>
    <comment authorId="0" ref="I357">
      <text>
        <t xml:space="preserve">Capital e interés pactados. La última cuota ajusta el saldo por redondeo.</t>
      </text>
    </comment>
    <comment authorId="0" ref="J357">
      <text>
        <t xml:space="preserve">Capital amortizado TEÓRICO = cuota base − interés, limitado al saldo.</t>
      </text>
    </comment>
    <comment authorId="0" ref="K357">
      <text>
        <t xml:space="preserve">Seguro y otros cargos fijos del mes.</t>
      </text>
    </comment>
    <comment authorId="0" ref="L357">
      <text>
        <t xml:space="preserve">Cuota base + cargos.</t>
      </text>
    </comment>
    <comment authorId="0" ref="M357">
      <text>
        <t xml:space="preserve">Capital final del calendario teórico. No equivale al saldo real si hay pagos parciales o atrasos.</t>
      </text>
    </comment>
    <comment authorId="0" ref="N357">
      <text>
        <t xml:space="preserve">Suma de pagos válidos del mismo ID y cuota con fecha igual o anterior al corte.</t>
      </text>
    </comment>
    <comment authorId="0" ref="O357">
      <text>
        <t xml:space="preserve">MIN(amortización pactada; MAX(0; pagado − cargos − interés)). No imputa excedentes a otras cuotas.</t>
      </text>
    </comment>
    <comment authorId="0" ref="P357">
      <text>
        <t xml:space="preserve">MAX(0; total pactado − pagado a esta cuota). Incluye capital, interés y cargos pendientes de ESA cuota.</t>
      </text>
    </comment>
    <comment authorId="0" ref="Q357">
      <text>
        <t xml:space="preserve">Días desde vencimiento hasta corte, solo si venció antes del corte y sigue con saldo.</t>
      </text>
    </comment>
    <comment authorId="0" ref="R357">
      <text>
        <t xml:space="preserve">MAX(0; pagado − cuota pactada). Exceso para revisar: no se traspasa a otra cuota.</t>
      </text>
    </comment>
    <comment authorId="0" ref="S357">
      <text>
        <t xml:space="preserve">Pagada, Vencida, Vence hoy, Por vencer o Exceso sin imputar según fecha y saldo al corte.</t>
      </text>
    </comment>
    <comment authorId="0" ref="T357">
      <text>
        <t xml:space="preserve">Auxiliar para encontrar la primera cuota pendiente. El 999999 indica que esta cuota no tiene saldo pendiente o está fuera del plazo, y no es una fecha real.</t>
      </text>
    </comment>
    <comment authorId="0" ref="C358">
      <text>
        <t xml:space="preserve">Crédito al que corresponde esta cuota.</t>
      </text>
    </comment>
    <comment authorId="0" ref="D358">
      <text>
        <t xml:space="preserve">Número de cuota dentro del crédito.</t>
      </text>
    </comment>
    <comment authorId="0" ref="E358">
      <text>
        <t xml:space="preserve">Fecha según EDATE a partir del primer vencimiento. No ajusta automáticamente feriados.</t>
      </text>
    </comment>
    <comment authorId="0" ref="F358">
      <text>
        <t xml:space="preserve">Capital al inicio del período en el calendario ORIGINAL, sin recalcular por pagos reales.</t>
      </text>
    </comment>
    <comment authorId="0" ref="G358">
      <text>
        <t xml:space="preserve">Tasa efectiva del mes según la base ingresada.</t>
      </text>
    </comment>
    <comment authorId="0" ref="H358">
      <text>
        <t xml:space="preserve">Interés del período = capital inicial × tasa mensual, redondeado a dos decimales.</t>
      </text>
    </comment>
    <comment authorId="0" ref="I358">
      <text>
        <t xml:space="preserve">Capital e interés pactados. La última cuota ajusta el saldo por redondeo.</t>
      </text>
    </comment>
    <comment authorId="0" ref="J358">
      <text>
        <t xml:space="preserve">Capital amortizado TEÓRICO = cuota base − interés, limitado al saldo.</t>
      </text>
    </comment>
    <comment authorId="0" ref="K358">
      <text>
        <t xml:space="preserve">Seguro y otros cargos fijos del mes.</t>
      </text>
    </comment>
    <comment authorId="0" ref="L358">
      <text>
        <t xml:space="preserve">Cuota base + cargos.</t>
      </text>
    </comment>
    <comment authorId="0" ref="M358">
      <text>
        <t xml:space="preserve">Capital final del calendario teórico. No equivale al saldo real si hay pagos parciales o atrasos.</t>
      </text>
    </comment>
    <comment authorId="0" ref="N358">
      <text>
        <t xml:space="preserve">Suma de pagos válidos del mismo ID y cuota con fecha igual o anterior al corte.</t>
      </text>
    </comment>
    <comment authorId="0" ref="O358">
      <text>
        <t xml:space="preserve">MIN(amortización pactada; MAX(0; pagado − cargos − interés)). No imputa excedentes a otras cuotas.</t>
      </text>
    </comment>
    <comment authorId="0" ref="P358">
      <text>
        <t xml:space="preserve">MAX(0; total pactado − pagado a esta cuota). Incluye capital, interés y cargos pendientes de ESA cuota.</t>
      </text>
    </comment>
    <comment authorId="0" ref="Q358">
      <text>
        <t xml:space="preserve">Días desde vencimiento hasta corte, solo si venció antes del corte y sigue con saldo.</t>
      </text>
    </comment>
    <comment authorId="0" ref="R358">
      <text>
        <t xml:space="preserve">MAX(0; pagado − cuota pactada). Exceso para revisar: no se traspasa a otra cuota.</t>
      </text>
    </comment>
    <comment authorId="0" ref="S358">
      <text>
        <t xml:space="preserve">Pagada, Vencida, Vence hoy, Por vencer o Exceso sin imputar según fecha y saldo al corte.</t>
      </text>
    </comment>
    <comment authorId="0" ref="T358">
      <text>
        <t xml:space="preserve">Auxiliar para encontrar la primera cuota pendiente. El 999999 indica que esta cuota no tiene saldo pendiente o está fuera del plazo, y no es una fecha real.</t>
      </text>
    </comment>
    <comment authorId="0" ref="C359">
      <text>
        <t xml:space="preserve">Crédito al que corresponde esta cuota.</t>
      </text>
    </comment>
    <comment authorId="0" ref="D359">
      <text>
        <t xml:space="preserve">Número de cuota dentro del crédito.</t>
      </text>
    </comment>
    <comment authorId="0" ref="E359">
      <text>
        <t xml:space="preserve">Fecha según EDATE a partir del primer vencimiento. No ajusta automáticamente feriados.</t>
      </text>
    </comment>
    <comment authorId="0" ref="F359">
      <text>
        <t xml:space="preserve">Capital al inicio del período en el calendario ORIGINAL, sin recalcular por pagos reales.</t>
      </text>
    </comment>
    <comment authorId="0" ref="G359">
      <text>
        <t xml:space="preserve">Tasa efectiva del mes según la base ingresada.</t>
      </text>
    </comment>
    <comment authorId="0" ref="H359">
      <text>
        <t xml:space="preserve">Interés del período = capital inicial × tasa mensual, redondeado a dos decimales.</t>
      </text>
    </comment>
    <comment authorId="0" ref="I359">
      <text>
        <t xml:space="preserve">Capital e interés pactados. La última cuota ajusta el saldo por redondeo.</t>
      </text>
    </comment>
    <comment authorId="0" ref="J359">
      <text>
        <t xml:space="preserve">Capital amortizado TEÓRICO = cuota base − interés, limitado al saldo.</t>
      </text>
    </comment>
    <comment authorId="0" ref="K359">
      <text>
        <t xml:space="preserve">Seguro y otros cargos fijos del mes.</t>
      </text>
    </comment>
    <comment authorId="0" ref="L359">
      <text>
        <t xml:space="preserve">Cuota base + cargos.</t>
      </text>
    </comment>
    <comment authorId="0" ref="M359">
      <text>
        <t xml:space="preserve">Capital final del calendario teórico. No equivale al saldo real si hay pagos parciales o atrasos.</t>
      </text>
    </comment>
    <comment authorId="0" ref="N359">
      <text>
        <t xml:space="preserve">Suma de pagos válidos del mismo ID y cuota con fecha igual o anterior al corte.</t>
      </text>
    </comment>
    <comment authorId="0" ref="O359">
      <text>
        <t xml:space="preserve">MIN(amortización pactada; MAX(0; pagado − cargos − interés)). No imputa excedentes a otras cuotas.</t>
      </text>
    </comment>
    <comment authorId="0" ref="P359">
      <text>
        <t xml:space="preserve">MAX(0; total pactado − pagado a esta cuota). Incluye capital, interés y cargos pendientes de ESA cuota.</t>
      </text>
    </comment>
    <comment authorId="0" ref="Q359">
      <text>
        <t xml:space="preserve">Días desde vencimiento hasta corte, solo si venció antes del corte y sigue con saldo.</t>
      </text>
    </comment>
    <comment authorId="0" ref="R359">
      <text>
        <t xml:space="preserve">MAX(0; pagado − cuota pactada). Exceso para revisar: no se traspasa a otra cuota.</t>
      </text>
    </comment>
    <comment authorId="0" ref="S359">
      <text>
        <t xml:space="preserve">Pagada, Vencida, Vence hoy, Por vencer o Exceso sin imputar según fecha y saldo al corte.</t>
      </text>
    </comment>
    <comment authorId="0" ref="T359">
      <text>
        <t xml:space="preserve">Auxiliar para encontrar la primera cuota pendiente. El 999999 indica que esta cuota no tiene saldo pendiente o está fuera del plazo, y no es una fecha real.</t>
      </text>
    </comment>
    <comment authorId="0" ref="C360">
      <text>
        <t xml:space="preserve">Crédito al que corresponde esta cuota.</t>
      </text>
    </comment>
    <comment authorId="0" ref="D360">
      <text>
        <t xml:space="preserve">Número de cuota dentro del crédito.</t>
      </text>
    </comment>
    <comment authorId="0" ref="E360">
      <text>
        <t xml:space="preserve">Fecha según EDATE a partir del primer vencimiento. No ajusta automáticamente feriados.</t>
      </text>
    </comment>
    <comment authorId="0" ref="F360">
      <text>
        <t xml:space="preserve">Capital al inicio del período en el calendario ORIGINAL, sin recalcular por pagos reales.</t>
      </text>
    </comment>
    <comment authorId="0" ref="G360">
      <text>
        <t xml:space="preserve">Tasa efectiva del mes según la base ingresada.</t>
      </text>
    </comment>
    <comment authorId="0" ref="H360">
      <text>
        <t xml:space="preserve">Interés del período = capital inicial × tasa mensual, redondeado a dos decimales.</t>
      </text>
    </comment>
    <comment authorId="0" ref="I360">
      <text>
        <t xml:space="preserve">Capital e interés pactados. La última cuota ajusta el saldo por redondeo.</t>
      </text>
    </comment>
    <comment authorId="0" ref="J360">
      <text>
        <t xml:space="preserve">Capital amortizado TEÓRICO = cuota base − interés, limitado al saldo.</t>
      </text>
    </comment>
    <comment authorId="0" ref="K360">
      <text>
        <t xml:space="preserve">Seguro y otros cargos fijos del mes.</t>
      </text>
    </comment>
    <comment authorId="0" ref="L360">
      <text>
        <t xml:space="preserve">Cuota base + cargos.</t>
      </text>
    </comment>
    <comment authorId="0" ref="M360">
      <text>
        <t xml:space="preserve">Capital final del calendario teórico. No equivale al saldo real si hay pagos parciales o atrasos.</t>
      </text>
    </comment>
    <comment authorId="0" ref="N360">
      <text>
        <t xml:space="preserve">Suma de pagos válidos del mismo ID y cuota con fecha igual o anterior al corte.</t>
      </text>
    </comment>
    <comment authorId="0" ref="O360">
      <text>
        <t xml:space="preserve">MIN(amortización pactada; MAX(0; pagado − cargos − interés)). No imputa excedentes a otras cuotas.</t>
      </text>
    </comment>
    <comment authorId="0" ref="P360">
      <text>
        <t xml:space="preserve">MAX(0; total pactado − pagado a esta cuota). Incluye capital, interés y cargos pendientes de ESA cuota.</t>
      </text>
    </comment>
    <comment authorId="0" ref="Q360">
      <text>
        <t xml:space="preserve">Días desde vencimiento hasta corte, solo si venció antes del corte y sigue con saldo.</t>
      </text>
    </comment>
    <comment authorId="0" ref="R360">
      <text>
        <t xml:space="preserve">MAX(0; pagado − cuota pactada). Exceso para revisar: no se traspasa a otra cuota.</t>
      </text>
    </comment>
    <comment authorId="0" ref="S360">
      <text>
        <t xml:space="preserve">Pagada, Vencida, Vence hoy, Por vencer o Exceso sin imputar según fecha y saldo al corte.</t>
      </text>
    </comment>
    <comment authorId="0" ref="T360">
      <text>
        <t xml:space="preserve">Auxiliar para encontrar la primera cuota pendiente. El 999999 indica que esta cuota no tiene saldo pendiente o está fuera del plazo, y no es una fecha real.</t>
      </text>
    </comment>
    <comment authorId="0" ref="C361">
      <text>
        <t xml:space="preserve">Crédito al que corresponde esta cuota.</t>
      </text>
    </comment>
    <comment authorId="0" ref="D361">
      <text>
        <t xml:space="preserve">Número de cuota dentro del crédito.</t>
      </text>
    </comment>
    <comment authorId="0" ref="E361">
      <text>
        <t xml:space="preserve">Fecha según EDATE a partir del primer vencimiento. No ajusta automáticamente feriados.</t>
      </text>
    </comment>
    <comment authorId="0" ref="F361">
      <text>
        <t xml:space="preserve">Capital al inicio del período en el calendario ORIGINAL, sin recalcular por pagos reales.</t>
      </text>
    </comment>
    <comment authorId="0" ref="G361">
      <text>
        <t xml:space="preserve">Tasa efectiva del mes según la base ingresada.</t>
      </text>
    </comment>
    <comment authorId="0" ref="H361">
      <text>
        <t xml:space="preserve">Interés del período = capital inicial × tasa mensual, redondeado a dos decimales.</t>
      </text>
    </comment>
    <comment authorId="0" ref="I361">
      <text>
        <t xml:space="preserve">Capital e interés pactados. La última cuota ajusta el saldo por redondeo.</t>
      </text>
    </comment>
    <comment authorId="0" ref="J361">
      <text>
        <t xml:space="preserve">Capital amortizado TEÓRICO = cuota base − interés, limitado al saldo.</t>
      </text>
    </comment>
    <comment authorId="0" ref="K361">
      <text>
        <t xml:space="preserve">Seguro y otros cargos fijos del mes.</t>
      </text>
    </comment>
    <comment authorId="0" ref="L361">
      <text>
        <t xml:space="preserve">Cuota base + cargos.</t>
      </text>
    </comment>
    <comment authorId="0" ref="M361">
      <text>
        <t xml:space="preserve">Capital final del calendario teórico. No equivale al saldo real si hay pagos parciales o atrasos.</t>
      </text>
    </comment>
    <comment authorId="0" ref="N361">
      <text>
        <t xml:space="preserve">Suma de pagos válidos del mismo ID y cuota con fecha igual o anterior al corte.</t>
      </text>
    </comment>
    <comment authorId="0" ref="O361">
      <text>
        <t xml:space="preserve">MIN(amortización pactada; MAX(0; pagado − cargos − interés)). No imputa excedentes a otras cuotas.</t>
      </text>
    </comment>
    <comment authorId="0" ref="P361">
      <text>
        <t xml:space="preserve">MAX(0; total pactado − pagado a esta cuota). Incluye capital, interés y cargos pendientes de ESA cuota.</t>
      </text>
    </comment>
    <comment authorId="0" ref="Q361">
      <text>
        <t xml:space="preserve">Días desde vencimiento hasta corte, solo si venció antes del corte y sigue con saldo.</t>
      </text>
    </comment>
    <comment authorId="0" ref="R361">
      <text>
        <t xml:space="preserve">MAX(0; pagado − cuota pactada). Exceso para revisar: no se traspasa a otra cuota.</t>
      </text>
    </comment>
    <comment authorId="0" ref="S361">
      <text>
        <t xml:space="preserve">Pagada, Vencida, Vence hoy, Por vencer o Exceso sin imputar según fecha y saldo al corte.</t>
      </text>
    </comment>
    <comment authorId="0" ref="T361">
      <text>
        <t xml:space="preserve">Auxiliar para encontrar la primera cuota pendiente. El 999999 indica que esta cuota no tiene saldo pendiente o está fuera del plazo, y no es una fecha real.</t>
      </text>
    </comment>
    <comment authorId="0" ref="C362">
      <text>
        <t xml:space="preserve">Crédito al que corresponde esta cuota.</t>
      </text>
    </comment>
    <comment authorId="0" ref="D362">
      <text>
        <t xml:space="preserve">Número de cuota dentro del crédito.</t>
      </text>
    </comment>
    <comment authorId="0" ref="E362">
      <text>
        <t xml:space="preserve">Fecha según EDATE a partir del primer vencimiento. No ajusta automáticamente feriados.</t>
      </text>
    </comment>
    <comment authorId="0" ref="F362">
      <text>
        <t xml:space="preserve">Capital al inicio del período en el calendario ORIGINAL, sin recalcular por pagos reales.</t>
      </text>
    </comment>
    <comment authorId="0" ref="G362">
      <text>
        <t xml:space="preserve">Tasa efectiva del mes según la base ingresada.</t>
      </text>
    </comment>
    <comment authorId="0" ref="H362">
      <text>
        <t xml:space="preserve">Interés del período = capital inicial × tasa mensual, redondeado a dos decimales.</t>
      </text>
    </comment>
    <comment authorId="0" ref="I362">
      <text>
        <t xml:space="preserve">Capital e interés pactados. La última cuota ajusta el saldo por redondeo.</t>
      </text>
    </comment>
    <comment authorId="0" ref="J362">
      <text>
        <t xml:space="preserve">Capital amortizado TEÓRICO = cuota base − interés, limitado al saldo.</t>
      </text>
    </comment>
    <comment authorId="0" ref="K362">
      <text>
        <t xml:space="preserve">Seguro y otros cargos fijos del mes.</t>
      </text>
    </comment>
    <comment authorId="0" ref="L362">
      <text>
        <t xml:space="preserve">Cuota base + cargos.</t>
      </text>
    </comment>
    <comment authorId="0" ref="M362">
      <text>
        <t xml:space="preserve">Capital final del calendario teórico. No equivale al saldo real si hay pagos parciales o atrasos.</t>
      </text>
    </comment>
    <comment authorId="0" ref="N362">
      <text>
        <t xml:space="preserve">Suma de pagos válidos del mismo ID y cuota con fecha igual o anterior al corte.</t>
      </text>
    </comment>
    <comment authorId="0" ref="O362">
      <text>
        <t xml:space="preserve">MIN(amortización pactada; MAX(0; pagado − cargos − interés)). No imputa excedentes a otras cuotas.</t>
      </text>
    </comment>
    <comment authorId="0" ref="P362">
      <text>
        <t xml:space="preserve">MAX(0; total pactado − pagado a esta cuota). Incluye capital, interés y cargos pendientes de ESA cuota.</t>
      </text>
    </comment>
    <comment authorId="0" ref="Q362">
      <text>
        <t xml:space="preserve">Días desde vencimiento hasta corte, solo si venció antes del corte y sigue con saldo.</t>
      </text>
    </comment>
    <comment authorId="0" ref="R362">
      <text>
        <t xml:space="preserve">MAX(0; pagado − cuota pactada). Exceso para revisar: no se traspasa a otra cuota.</t>
      </text>
    </comment>
    <comment authorId="0" ref="S362">
      <text>
        <t xml:space="preserve">Pagada, Vencida, Vence hoy, Por vencer o Exceso sin imputar según fecha y saldo al corte.</t>
      </text>
    </comment>
    <comment authorId="0" ref="T362">
      <text>
        <t xml:space="preserve">Auxiliar para encontrar la primera cuota pendiente. El 999999 indica que esta cuota no tiene saldo pendiente o está fuera del plazo, y no es una fecha real.</t>
      </text>
    </comment>
    <comment authorId="0" ref="C363">
      <text>
        <t xml:space="preserve">Crédito al que corresponde esta cuota.</t>
      </text>
    </comment>
    <comment authorId="0" ref="D363">
      <text>
        <t xml:space="preserve">Número de cuota dentro del crédito.</t>
      </text>
    </comment>
    <comment authorId="0" ref="E363">
      <text>
        <t xml:space="preserve">Fecha según EDATE a partir del primer vencimiento. No ajusta automáticamente feriados.</t>
      </text>
    </comment>
    <comment authorId="0" ref="F363">
      <text>
        <t xml:space="preserve">Capital al inicio del período en el calendario ORIGINAL, sin recalcular por pagos reales.</t>
      </text>
    </comment>
    <comment authorId="0" ref="G363">
      <text>
        <t xml:space="preserve">Tasa efectiva del mes según la base ingresada.</t>
      </text>
    </comment>
    <comment authorId="0" ref="H363">
      <text>
        <t xml:space="preserve">Interés del período = capital inicial × tasa mensual, redondeado a dos decimales.</t>
      </text>
    </comment>
    <comment authorId="0" ref="I363">
      <text>
        <t xml:space="preserve">Capital e interés pactados. La última cuota ajusta el saldo por redondeo.</t>
      </text>
    </comment>
    <comment authorId="0" ref="J363">
      <text>
        <t xml:space="preserve">Capital amortizado TEÓRICO = cuota base − interés, limitado al saldo.</t>
      </text>
    </comment>
    <comment authorId="0" ref="K363">
      <text>
        <t xml:space="preserve">Seguro y otros cargos fijos del mes.</t>
      </text>
    </comment>
    <comment authorId="0" ref="L363">
      <text>
        <t xml:space="preserve">Cuota base + cargos.</t>
      </text>
    </comment>
    <comment authorId="0" ref="M363">
      <text>
        <t xml:space="preserve">Capital final del calendario teórico. No equivale al saldo real si hay pagos parciales o atrasos.</t>
      </text>
    </comment>
    <comment authorId="0" ref="N363">
      <text>
        <t xml:space="preserve">Suma de pagos válidos del mismo ID y cuota con fecha igual o anterior al corte.</t>
      </text>
    </comment>
    <comment authorId="0" ref="O363">
      <text>
        <t xml:space="preserve">MIN(amortización pactada; MAX(0; pagado − cargos − interés)). No imputa excedentes a otras cuotas.</t>
      </text>
    </comment>
    <comment authorId="0" ref="P363">
      <text>
        <t xml:space="preserve">MAX(0; total pactado − pagado a esta cuota). Incluye capital, interés y cargos pendientes de ESA cuota.</t>
      </text>
    </comment>
    <comment authorId="0" ref="Q363">
      <text>
        <t xml:space="preserve">Días desde vencimiento hasta corte, solo si venció antes del corte y sigue con saldo.</t>
      </text>
    </comment>
    <comment authorId="0" ref="R363">
      <text>
        <t xml:space="preserve">MAX(0; pagado − cuota pactada). Exceso para revisar: no se traspasa a otra cuota.</t>
      </text>
    </comment>
    <comment authorId="0" ref="S363">
      <text>
        <t xml:space="preserve">Pagada, Vencida, Vence hoy, Por vencer o Exceso sin imputar según fecha y saldo al corte.</t>
      </text>
    </comment>
    <comment authorId="0" ref="T363">
      <text>
        <t xml:space="preserve">Auxiliar para encontrar la primera cuota pendiente. El 999999 indica que esta cuota no tiene saldo pendiente o está fuera del plazo, y no es una fecha real.</t>
      </text>
    </comment>
    <comment authorId="0" ref="C364">
      <text>
        <t xml:space="preserve">Crédito al que corresponde esta cuota.</t>
      </text>
    </comment>
    <comment authorId="0" ref="D364">
      <text>
        <t xml:space="preserve">Número de cuota dentro del crédito.</t>
      </text>
    </comment>
    <comment authorId="0" ref="E364">
      <text>
        <t xml:space="preserve">Fecha según EDATE a partir del primer vencimiento. No ajusta automáticamente feriados.</t>
      </text>
    </comment>
    <comment authorId="0" ref="F364">
      <text>
        <t xml:space="preserve">Capital al inicio del período en el calendario ORIGINAL, sin recalcular por pagos reales.</t>
      </text>
    </comment>
    <comment authorId="0" ref="G364">
      <text>
        <t xml:space="preserve">Tasa efectiva del mes según la base ingresada.</t>
      </text>
    </comment>
    <comment authorId="0" ref="H364">
      <text>
        <t xml:space="preserve">Interés del período = capital inicial × tasa mensual, redondeado a dos decimales.</t>
      </text>
    </comment>
    <comment authorId="0" ref="I364">
      <text>
        <t xml:space="preserve">Capital e interés pactados. La última cuota ajusta el saldo por redondeo.</t>
      </text>
    </comment>
    <comment authorId="0" ref="J364">
      <text>
        <t xml:space="preserve">Capital amortizado TEÓRICO = cuota base − interés, limitado al saldo.</t>
      </text>
    </comment>
    <comment authorId="0" ref="K364">
      <text>
        <t xml:space="preserve">Seguro y otros cargos fijos del mes.</t>
      </text>
    </comment>
    <comment authorId="0" ref="L364">
      <text>
        <t xml:space="preserve">Cuota base + cargos.</t>
      </text>
    </comment>
    <comment authorId="0" ref="M364">
      <text>
        <t xml:space="preserve">Capital final del calendario teórico. No equivale al saldo real si hay pagos parciales o atrasos.</t>
      </text>
    </comment>
    <comment authorId="0" ref="N364">
      <text>
        <t xml:space="preserve">Suma de pagos válidos del mismo ID y cuota con fecha igual o anterior al corte.</t>
      </text>
    </comment>
    <comment authorId="0" ref="O364">
      <text>
        <t xml:space="preserve">MIN(amortización pactada; MAX(0; pagado − cargos − interés)). No imputa excedentes a otras cuotas.</t>
      </text>
    </comment>
    <comment authorId="0" ref="P364">
      <text>
        <t xml:space="preserve">MAX(0; total pactado − pagado a esta cuota). Incluye capital, interés y cargos pendientes de ESA cuota.</t>
      </text>
    </comment>
    <comment authorId="0" ref="Q364">
      <text>
        <t xml:space="preserve">Días desde vencimiento hasta corte, solo si venció antes del corte y sigue con saldo.</t>
      </text>
    </comment>
    <comment authorId="0" ref="R364">
      <text>
        <t xml:space="preserve">MAX(0; pagado − cuota pactada). Exceso para revisar: no se traspasa a otra cuota.</t>
      </text>
    </comment>
    <comment authorId="0" ref="S364">
      <text>
        <t xml:space="preserve">Pagada, Vencida, Vence hoy, Por vencer o Exceso sin imputar según fecha y saldo al corte.</t>
      </text>
    </comment>
    <comment authorId="0" ref="T364">
      <text>
        <t xml:space="preserve">Auxiliar para encontrar la primera cuota pendiente. El 999999 indica que esta cuota no tiene saldo pendiente o está fuera del plazo, y no es una fecha real.</t>
      </text>
    </comment>
    <comment authorId="0" ref="C365">
      <text>
        <t xml:space="preserve">Crédito al que corresponde esta cuota.</t>
      </text>
    </comment>
    <comment authorId="0" ref="D365">
      <text>
        <t xml:space="preserve">Número de cuota dentro del crédito.</t>
      </text>
    </comment>
    <comment authorId="0" ref="E365">
      <text>
        <t xml:space="preserve">Fecha según EDATE a partir del primer vencimiento. No ajusta automáticamente feriados.</t>
      </text>
    </comment>
    <comment authorId="0" ref="F365">
      <text>
        <t xml:space="preserve">Capital al inicio del período en el calendario ORIGINAL, sin recalcular por pagos reales.</t>
      </text>
    </comment>
    <comment authorId="0" ref="G365">
      <text>
        <t xml:space="preserve">Tasa efectiva del mes según la base ingresada.</t>
      </text>
    </comment>
    <comment authorId="0" ref="H365">
      <text>
        <t xml:space="preserve">Interés del período = capital inicial × tasa mensual, redondeado a dos decimales.</t>
      </text>
    </comment>
    <comment authorId="0" ref="I365">
      <text>
        <t xml:space="preserve">Capital e interés pactados. La última cuota ajusta el saldo por redondeo.</t>
      </text>
    </comment>
    <comment authorId="0" ref="J365">
      <text>
        <t xml:space="preserve">Capital amortizado TEÓRICO = cuota base − interés, limitado al saldo.</t>
      </text>
    </comment>
    <comment authorId="0" ref="K365">
      <text>
        <t xml:space="preserve">Seguro y otros cargos fijos del mes.</t>
      </text>
    </comment>
    <comment authorId="0" ref="L365">
      <text>
        <t xml:space="preserve">Cuota base + cargos.</t>
      </text>
    </comment>
    <comment authorId="0" ref="M365">
      <text>
        <t xml:space="preserve">Capital final del calendario teórico. No equivale al saldo real si hay pagos parciales o atrasos.</t>
      </text>
    </comment>
    <comment authorId="0" ref="N365">
      <text>
        <t xml:space="preserve">Suma de pagos válidos del mismo ID y cuota con fecha igual o anterior al corte.</t>
      </text>
    </comment>
    <comment authorId="0" ref="O365">
      <text>
        <t xml:space="preserve">MIN(amortización pactada; MAX(0; pagado − cargos − interés)). No imputa excedentes a otras cuotas.</t>
      </text>
    </comment>
    <comment authorId="0" ref="P365">
      <text>
        <t xml:space="preserve">MAX(0; total pactado − pagado a esta cuota). Incluye capital, interés y cargos pendientes de ESA cuota.</t>
      </text>
    </comment>
    <comment authorId="0" ref="Q365">
      <text>
        <t xml:space="preserve">Días desde vencimiento hasta corte, solo si venció antes del corte y sigue con saldo.</t>
      </text>
    </comment>
    <comment authorId="0" ref="R365">
      <text>
        <t xml:space="preserve">MAX(0; pagado − cuota pactada). Exceso para revisar: no se traspasa a otra cuota.</t>
      </text>
    </comment>
    <comment authorId="0" ref="S365">
      <text>
        <t xml:space="preserve">Pagada, Vencida, Vence hoy, Por vencer o Exceso sin imputar según fecha y saldo al corte.</t>
      </text>
    </comment>
    <comment authorId="0" ref="T365">
      <text>
        <t xml:space="preserve">Auxiliar para encontrar la primera cuota pendiente. El 999999 indica que esta cuota no tiene saldo pendiente o está fuera del plazo, y no es una fecha real.</t>
      </text>
    </comment>
    <comment authorId="0" ref="C366">
      <text>
        <t xml:space="preserve">Crédito al que corresponde esta cuota.</t>
      </text>
    </comment>
    <comment authorId="0" ref="D366">
      <text>
        <t xml:space="preserve">Número de cuota dentro del crédito.</t>
      </text>
    </comment>
    <comment authorId="0" ref="E366">
      <text>
        <t xml:space="preserve">Fecha según EDATE a partir del primer vencimiento. No ajusta automáticamente feriados.</t>
      </text>
    </comment>
    <comment authorId="0" ref="F366">
      <text>
        <t xml:space="preserve">Capital al inicio del período en el calendario ORIGINAL, sin recalcular por pagos reales.</t>
      </text>
    </comment>
    <comment authorId="0" ref="G366">
      <text>
        <t xml:space="preserve">Tasa efectiva del mes según la base ingresada.</t>
      </text>
    </comment>
    <comment authorId="0" ref="H366">
      <text>
        <t xml:space="preserve">Interés del período = capital inicial × tasa mensual, redondeado a dos decimales.</t>
      </text>
    </comment>
    <comment authorId="0" ref="I366">
      <text>
        <t xml:space="preserve">Capital e interés pactados. La última cuota ajusta el saldo por redondeo.</t>
      </text>
    </comment>
    <comment authorId="0" ref="J366">
      <text>
        <t xml:space="preserve">Capital amortizado TEÓRICO = cuota base − interés, limitado al saldo.</t>
      </text>
    </comment>
    <comment authorId="0" ref="K366">
      <text>
        <t xml:space="preserve">Seguro y otros cargos fijos del mes.</t>
      </text>
    </comment>
    <comment authorId="0" ref="L366">
      <text>
        <t xml:space="preserve">Cuota base + cargos.</t>
      </text>
    </comment>
    <comment authorId="0" ref="M366">
      <text>
        <t xml:space="preserve">Capital final del calendario teórico. No equivale al saldo real si hay pagos parciales o atrasos.</t>
      </text>
    </comment>
    <comment authorId="0" ref="N366">
      <text>
        <t xml:space="preserve">Suma de pagos válidos del mismo ID y cuota con fecha igual o anterior al corte.</t>
      </text>
    </comment>
    <comment authorId="0" ref="O366">
      <text>
        <t xml:space="preserve">MIN(amortización pactada; MAX(0; pagado − cargos − interés)). No imputa excedentes a otras cuotas.</t>
      </text>
    </comment>
    <comment authorId="0" ref="P366">
      <text>
        <t xml:space="preserve">MAX(0; total pactado − pagado a esta cuota). Incluye capital, interés y cargos pendientes de ESA cuota.</t>
      </text>
    </comment>
    <comment authorId="0" ref="Q366">
      <text>
        <t xml:space="preserve">Días desde vencimiento hasta corte, solo si venció antes del corte y sigue con saldo.</t>
      </text>
    </comment>
    <comment authorId="0" ref="R366">
      <text>
        <t xml:space="preserve">MAX(0; pagado − cuota pactada). Exceso para revisar: no se traspasa a otra cuota.</t>
      </text>
    </comment>
    <comment authorId="0" ref="S366">
      <text>
        <t xml:space="preserve">Pagada, Vencida, Vence hoy, Por vencer o Exceso sin imputar según fecha y saldo al corte.</t>
      </text>
    </comment>
    <comment authorId="0" ref="T366">
      <text>
        <t xml:space="preserve">Auxiliar para encontrar la primera cuota pendiente. El 999999 indica que esta cuota no tiene saldo pendiente o está fuera del plazo, y no es una fecha real.</t>
      </text>
    </comment>
    <comment authorId="0" ref="C367">
      <text>
        <t xml:space="preserve">Crédito al que corresponde esta cuota.</t>
      </text>
    </comment>
    <comment authorId="0" ref="D367">
      <text>
        <t xml:space="preserve">Número de cuota dentro del crédito.</t>
      </text>
    </comment>
    <comment authorId="0" ref="E367">
      <text>
        <t xml:space="preserve">Fecha según EDATE a partir del primer vencimiento. No ajusta automáticamente feriados.</t>
      </text>
    </comment>
    <comment authorId="0" ref="F367">
      <text>
        <t xml:space="preserve">Capital al inicio del período en el calendario ORIGINAL, sin recalcular por pagos reales.</t>
      </text>
    </comment>
    <comment authorId="0" ref="G367">
      <text>
        <t xml:space="preserve">Tasa efectiva del mes según la base ingresada.</t>
      </text>
    </comment>
    <comment authorId="0" ref="H367">
      <text>
        <t xml:space="preserve">Interés del período = capital inicial × tasa mensual, redondeado a dos decimales.</t>
      </text>
    </comment>
    <comment authorId="0" ref="I367">
      <text>
        <t xml:space="preserve">Capital e interés pactados. La última cuota ajusta el saldo por redondeo.</t>
      </text>
    </comment>
    <comment authorId="0" ref="J367">
      <text>
        <t xml:space="preserve">Capital amortizado TEÓRICO = cuota base − interés, limitado al saldo.</t>
      </text>
    </comment>
    <comment authorId="0" ref="K367">
      <text>
        <t xml:space="preserve">Seguro y otros cargos fijos del mes.</t>
      </text>
    </comment>
    <comment authorId="0" ref="L367">
      <text>
        <t xml:space="preserve">Cuota base + cargos.</t>
      </text>
    </comment>
    <comment authorId="0" ref="M367">
      <text>
        <t xml:space="preserve">Capital final del calendario teórico. No equivale al saldo real si hay pagos parciales o atrasos.</t>
      </text>
    </comment>
    <comment authorId="0" ref="N367">
      <text>
        <t xml:space="preserve">Suma de pagos válidos del mismo ID y cuota con fecha igual o anterior al corte.</t>
      </text>
    </comment>
    <comment authorId="0" ref="O367">
      <text>
        <t xml:space="preserve">MIN(amortización pactada; MAX(0; pagado − cargos − interés)). No imputa excedentes a otras cuotas.</t>
      </text>
    </comment>
    <comment authorId="0" ref="P367">
      <text>
        <t xml:space="preserve">MAX(0; total pactado − pagado a esta cuota). Incluye capital, interés y cargos pendientes de ESA cuota.</t>
      </text>
    </comment>
    <comment authorId="0" ref="Q367">
      <text>
        <t xml:space="preserve">Días desde vencimiento hasta corte, solo si venció antes del corte y sigue con saldo.</t>
      </text>
    </comment>
    <comment authorId="0" ref="R367">
      <text>
        <t xml:space="preserve">MAX(0; pagado − cuota pactada). Exceso para revisar: no se traspasa a otra cuota.</t>
      </text>
    </comment>
    <comment authorId="0" ref="S367">
      <text>
        <t xml:space="preserve">Pagada, Vencida, Vence hoy, Por vencer o Exceso sin imputar según fecha y saldo al corte.</t>
      </text>
    </comment>
    <comment authorId="0" ref="T367">
      <text>
        <t xml:space="preserve">Auxiliar para encontrar la primera cuota pendiente. El 999999 indica que esta cuota no tiene saldo pendiente o está fuera del plazo, y no es una fecha real.</t>
      </text>
    </comment>
    <comment authorId="0" ref="C368">
      <text>
        <t xml:space="preserve">Crédito al que corresponde esta cuota.</t>
      </text>
    </comment>
    <comment authorId="0" ref="D368">
      <text>
        <t xml:space="preserve">Número de cuota dentro del crédito.</t>
      </text>
    </comment>
    <comment authorId="0" ref="E368">
      <text>
        <t xml:space="preserve">Fecha según EDATE a partir del primer vencimiento. No ajusta automáticamente feriados.</t>
      </text>
    </comment>
    <comment authorId="0" ref="F368">
      <text>
        <t xml:space="preserve">Capital al inicio del período en el calendario ORIGINAL, sin recalcular por pagos reales.</t>
      </text>
    </comment>
    <comment authorId="0" ref="G368">
      <text>
        <t xml:space="preserve">Tasa efectiva del mes según la base ingresada.</t>
      </text>
    </comment>
    <comment authorId="0" ref="H368">
      <text>
        <t xml:space="preserve">Interés del período = capital inicial × tasa mensual, redondeado a dos decimales.</t>
      </text>
    </comment>
    <comment authorId="0" ref="I368">
      <text>
        <t xml:space="preserve">Capital e interés pactados. La última cuota ajusta el saldo por redondeo.</t>
      </text>
    </comment>
    <comment authorId="0" ref="J368">
      <text>
        <t xml:space="preserve">Capital amortizado TEÓRICO = cuota base − interés, limitado al saldo.</t>
      </text>
    </comment>
    <comment authorId="0" ref="K368">
      <text>
        <t xml:space="preserve">Seguro y otros cargos fijos del mes.</t>
      </text>
    </comment>
    <comment authorId="0" ref="L368">
      <text>
        <t xml:space="preserve">Cuota base + cargos.</t>
      </text>
    </comment>
    <comment authorId="0" ref="M368">
      <text>
        <t xml:space="preserve">Capital final del calendario teórico. No equivale al saldo real si hay pagos parciales o atrasos.</t>
      </text>
    </comment>
    <comment authorId="0" ref="N368">
      <text>
        <t xml:space="preserve">Suma de pagos válidos del mismo ID y cuota con fecha igual o anterior al corte.</t>
      </text>
    </comment>
    <comment authorId="0" ref="O368">
      <text>
        <t xml:space="preserve">MIN(amortización pactada; MAX(0; pagado − cargos − interés)). No imputa excedentes a otras cuotas.</t>
      </text>
    </comment>
    <comment authorId="0" ref="P368">
      <text>
        <t xml:space="preserve">MAX(0; total pactado − pagado a esta cuota). Incluye capital, interés y cargos pendientes de ESA cuota.</t>
      </text>
    </comment>
    <comment authorId="0" ref="Q368">
      <text>
        <t xml:space="preserve">Días desde vencimiento hasta corte, solo si venció antes del corte y sigue con saldo.</t>
      </text>
    </comment>
    <comment authorId="0" ref="R368">
      <text>
        <t xml:space="preserve">MAX(0; pagado − cuota pactada). Exceso para revisar: no se traspasa a otra cuota.</t>
      </text>
    </comment>
    <comment authorId="0" ref="S368">
      <text>
        <t xml:space="preserve">Pagada, Vencida, Vence hoy, Por vencer o Exceso sin imputar según fecha y saldo al corte.</t>
      </text>
    </comment>
    <comment authorId="0" ref="T368">
      <text>
        <t xml:space="preserve">Auxiliar para encontrar la primera cuota pendiente. El 999999 indica que esta cuota no tiene saldo pendiente o está fuera del plazo, y no es una fecha real.</t>
      </text>
    </comment>
    <comment authorId="0" ref="C369">
      <text>
        <t xml:space="preserve">Crédito al que corresponde esta cuota.</t>
      </text>
    </comment>
    <comment authorId="0" ref="D369">
      <text>
        <t xml:space="preserve">Número de cuota dentro del crédito.</t>
      </text>
    </comment>
    <comment authorId="0" ref="E369">
      <text>
        <t xml:space="preserve">Fecha según EDATE a partir del primer vencimiento. No ajusta automáticamente feriados.</t>
      </text>
    </comment>
    <comment authorId="0" ref="F369">
      <text>
        <t xml:space="preserve">Capital al inicio del período en el calendario ORIGINAL, sin recalcular por pagos reales.</t>
      </text>
    </comment>
    <comment authorId="0" ref="G369">
      <text>
        <t xml:space="preserve">Tasa efectiva del mes según la base ingresada.</t>
      </text>
    </comment>
    <comment authorId="0" ref="H369">
      <text>
        <t xml:space="preserve">Interés del período = capital inicial × tasa mensual, redondeado a dos decimales.</t>
      </text>
    </comment>
    <comment authorId="0" ref="I369">
      <text>
        <t xml:space="preserve">Capital e interés pactados. La última cuota ajusta el saldo por redondeo.</t>
      </text>
    </comment>
    <comment authorId="0" ref="J369">
      <text>
        <t xml:space="preserve">Capital amortizado TEÓRICO = cuota base − interés, limitado al saldo.</t>
      </text>
    </comment>
    <comment authorId="0" ref="K369">
      <text>
        <t xml:space="preserve">Seguro y otros cargos fijos del mes.</t>
      </text>
    </comment>
    <comment authorId="0" ref="L369">
      <text>
        <t xml:space="preserve">Cuota base + cargos.</t>
      </text>
    </comment>
    <comment authorId="0" ref="M369">
      <text>
        <t xml:space="preserve">Capital final del calendario teórico. No equivale al saldo real si hay pagos parciales o atrasos.</t>
      </text>
    </comment>
    <comment authorId="0" ref="N369">
      <text>
        <t xml:space="preserve">Suma de pagos válidos del mismo ID y cuota con fecha igual o anterior al corte.</t>
      </text>
    </comment>
    <comment authorId="0" ref="O369">
      <text>
        <t xml:space="preserve">MIN(amortización pactada; MAX(0; pagado − cargos − interés)). No imputa excedentes a otras cuotas.</t>
      </text>
    </comment>
    <comment authorId="0" ref="P369">
      <text>
        <t xml:space="preserve">MAX(0; total pactado − pagado a esta cuota). Incluye capital, interés y cargos pendientes de ESA cuota.</t>
      </text>
    </comment>
    <comment authorId="0" ref="Q369">
      <text>
        <t xml:space="preserve">Días desde vencimiento hasta corte, solo si venció antes del corte y sigue con saldo.</t>
      </text>
    </comment>
    <comment authorId="0" ref="R369">
      <text>
        <t xml:space="preserve">MAX(0; pagado − cuota pactada). Exceso para revisar: no se traspasa a otra cuota.</t>
      </text>
    </comment>
    <comment authorId="0" ref="S369">
      <text>
        <t xml:space="preserve">Pagada, Vencida, Vence hoy, Por vencer o Exceso sin imputar según fecha y saldo al corte.</t>
      </text>
    </comment>
    <comment authorId="0" ref="T369">
      <text>
        <t xml:space="preserve">Auxiliar para encontrar la primera cuota pendiente. El 999999 indica que esta cuota no tiene saldo pendiente o está fuera del plazo, y no es una fecha real.</t>
      </text>
    </comment>
    <comment authorId="0" ref="C370">
      <text>
        <t xml:space="preserve">Crédito al que corresponde esta cuota.</t>
      </text>
    </comment>
    <comment authorId="0" ref="D370">
      <text>
        <t xml:space="preserve">Número de cuota dentro del crédito.</t>
      </text>
    </comment>
    <comment authorId="0" ref="E370">
      <text>
        <t xml:space="preserve">Fecha según EDATE a partir del primer vencimiento. No ajusta automáticamente feriados.</t>
      </text>
    </comment>
    <comment authorId="0" ref="F370">
      <text>
        <t xml:space="preserve">Capital al inicio del período en el calendario ORIGINAL, sin recalcular por pagos reales.</t>
      </text>
    </comment>
    <comment authorId="0" ref="G370">
      <text>
        <t xml:space="preserve">Tasa efectiva del mes según la base ingresada.</t>
      </text>
    </comment>
    <comment authorId="0" ref="H370">
      <text>
        <t xml:space="preserve">Interés del período = capital inicial × tasa mensual, redondeado a dos decimales.</t>
      </text>
    </comment>
    <comment authorId="0" ref="I370">
      <text>
        <t xml:space="preserve">Capital e interés pactados. La última cuota ajusta el saldo por redondeo.</t>
      </text>
    </comment>
    <comment authorId="0" ref="J370">
      <text>
        <t xml:space="preserve">Capital amortizado TEÓRICO = cuota base − interés, limitado al saldo.</t>
      </text>
    </comment>
    <comment authorId="0" ref="K370">
      <text>
        <t xml:space="preserve">Seguro y otros cargos fijos del mes.</t>
      </text>
    </comment>
    <comment authorId="0" ref="L370">
      <text>
        <t xml:space="preserve">Cuota base + cargos.</t>
      </text>
    </comment>
    <comment authorId="0" ref="M370">
      <text>
        <t xml:space="preserve">Capital final del calendario teórico. No equivale al saldo real si hay pagos parciales o atrasos.</t>
      </text>
    </comment>
    <comment authorId="0" ref="N370">
      <text>
        <t xml:space="preserve">Suma de pagos válidos del mismo ID y cuota con fecha igual o anterior al corte.</t>
      </text>
    </comment>
    <comment authorId="0" ref="O370">
      <text>
        <t xml:space="preserve">MIN(amortización pactada; MAX(0; pagado − cargos − interés)). No imputa excedentes a otras cuotas.</t>
      </text>
    </comment>
    <comment authorId="0" ref="P370">
      <text>
        <t xml:space="preserve">MAX(0; total pactado − pagado a esta cuota). Incluye capital, interés y cargos pendientes de ESA cuota.</t>
      </text>
    </comment>
    <comment authorId="0" ref="Q370">
      <text>
        <t xml:space="preserve">Días desde vencimiento hasta corte, solo si venció antes del corte y sigue con saldo.</t>
      </text>
    </comment>
    <comment authorId="0" ref="R370">
      <text>
        <t xml:space="preserve">MAX(0; pagado − cuota pactada). Exceso para revisar: no se traspasa a otra cuota.</t>
      </text>
    </comment>
    <comment authorId="0" ref="S370">
      <text>
        <t xml:space="preserve">Pagada, Vencida, Vence hoy, Por vencer o Exceso sin imputar según fecha y saldo al corte.</t>
      </text>
    </comment>
    <comment authorId="0" ref="T370">
      <text>
        <t xml:space="preserve">Auxiliar para encontrar la primera cuota pendiente. El 999999 indica que esta cuota no tiene saldo pendiente o está fuera del plazo, y no es una fecha real.</t>
      </text>
    </comment>
    <comment authorId="0" ref="C371">
      <text>
        <t xml:space="preserve">Crédito al que corresponde esta cuota.</t>
      </text>
    </comment>
    <comment authorId="0" ref="D371">
      <text>
        <t xml:space="preserve">Número de cuota dentro del crédito.</t>
      </text>
    </comment>
    <comment authorId="0" ref="E371">
      <text>
        <t xml:space="preserve">Fecha según EDATE a partir del primer vencimiento. No ajusta automáticamente feriados.</t>
      </text>
    </comment>
    <comment authorId="0" ref="F371">
      <text>
        <t xml:space="preserve">Capital al inicio del período en el calendario ORIGINAL, sin recalcular por pagos reales.</t>
      </text>
    </comment>
    <comment authorId="0" ref="G371">
      <text>
        <t xml:space="preserve">Tasa efectiva del mes según la base ingresada.</t>
      </text>
    </comment>
    <comment authorId="0" ref="H371">
      <text>
        <t xml:space="preserve">Interés del período = capital inicial × tasa mensual, redondeado a dos decimales.</t>
      </text>
    </comment>
    <comment authorId="0" ref="I371">
      <text>
        <t xml:space="preserve">Capital e interés pactados. La última cuota ajusta el saldo por redondeo.</t>
      </text>
    </comment>
    <comment authorId="0" ref="J371">
      <text>
        <t xml:space="preserve">Capital amortizado TEÓRICO = cuota base − interés, limitado al saldo.</t>
      </text>
    </comment>
    <comment authorId="0" ref="K371">
      <text>
        <t xml:space="preserve">Seguro y otros cargos fijos del mes.</t>
      </text>
    </comment>
    <comment authorId="0" ref="L371">
      <text>
        <t xml:space="preserve">Cuota base + cargos.</t>
      </text>
    </comment>
    <comment authorId="0" ref="M371">
      <text>
        <t xml:space="preserve">Capital final del calendario teórico. No equivale al saldo real si hay pagos parciales o atrasos.</t>
      </text>
    </comment>
    <comment authorId="0" ref="N371">
      <text>
        <t xml:space="preserve">Suma de pagos válidos del mismo ID y cuota con fecha igual o anterior al corte.</t>
      </text>
    </comment>
    <comment authorId="0" ref="O371">
      <text>
        <t xml:space="preserve">MIN(amortización pactada; MAX(0; pagado − cargos − interés)). No imputa excedentes a otras cuotas.</t>
      </text>
    </comment>
    <comment authorId="0" ref="P371">
      <text>
        <t xml:space="preserve">MAX(0; total pactado − pagado a esta cuota). Incluye capital, interés y cargos pendientes de ESA cuota.</t>
      </text>
    </comment>
    <comment authorId="0" ref="Q371">
      <text>
        <t xml:space="preserve">Días desde vencimiento hasta corte, solo si venció antes del corte y sigue con saldo.</t>
      </text>
    </comment>
    <comment authorId="0" ref="R371">
      <text>
        <t xml:space="preserve">MAX(0; pagado − cuota pactada). Exceso para revisar: no se traspasa a otra cuota.</t>
      </text>
    </comment>
    <comment authorId="0" ref="S371">
      <text>
        <t xml:space="preserve">Pagada, Vencida, Vence hoy, Por vencer o Exceso sin imputar según fecha y saldo al corte.</t>
      </text>
    </comment>
    <comment authorId="0" ref="T371">
      <text>
        <t xml:space="preserve">Auxiliar para encontrar la primera cuota pendiente. El 999999 indica que esta cuota no tiene saldo pendiente o está fuera del plazo, y no es una fecha real.</t>
      </text>
    </comment>
    <comment authorId="0" ref="C372">
      <text>
        <t xml:space="preserve">Crédito al que corresponde esta cuota.</t>
      </text>
    </comment>
    <comment authorId="0" ref="D372">
      <text>
        <t xml:space="preserve">Número de cuota dentro del crédito.</t>
      </text>
    </comment>
    <comment authorId="0" ref="E372">
      <text>
        <t xml:space="preserve">Fecha según EDATE a partir del primer vencimiento. No ajusta automáticamente feriados.</t>
      </text>
    </comment>
    <comment authorId="0" ref="F372">
      <text>
        <t xml:space="preserve">Capital al inicio del período en el calendario ORIGINAL, sin recalcular por pagos reales.</t>
      </text>
    </comment>
    <comment authorId="0" ref="G372">
      <text>
        <t xml:space="preserve">Tasa efectiva del mes según la base ingresada.</t>
      </text>
    </comment>
    <comment authorId="0" ref="H372">
      <text>
        <t xml:space="preserve">Interés del período = capital inicial × tasa mensual, redondeado a dos decimales.</t>
      </text>
    </comment>
    <comment authorId="0" ref="I372">
      <text>
        <t xml:space="preserve">Capital e interés pactados. La última cuota ajusta el saldo por redondeo.</t>
      </text>
    </comment>
    <comment authorId="0" ref="J372">
      <text>
        <t xml:space="preserve">Capital amortizado TEÓRICO = cuota base − interés, limitado al saldo.</t>
      </text>
    </comment>
    <comment authorId="0" ref="K372">
      <text>
        <t xml:space="preserve">Seguro y otros cargos fijos del mes.</t>
      </text>
    </comment>
    <comment authorId="0" ref="L372">
      <text>
        <t xml:space="preserve">Cuota base + cargos.</t>
      </text>
    </comment>
    <comment authorId="0" ref="M372">
      <text>
        <t xml:space="preserve">Capital final del calendario teórico. No equivale al saldo real si hay pagos parciales o atrasos.</t>
      </text>
    </comment>
    <comment authorId="0" ref="N372">
      <text>
        <t xml:space="preserve">Suma de pagos válidos del mismo ID y cuota con fecha igual o anterior al corte.</t>
      </text>
    </comment>
    <comment authorId="0" ref="O372">
      <text>
        <t xml:space="preserve">MIN(amortización pactada; MAX(0; pagado − cargos − interés)). No imputa excedentes a otras cuotas.</t>
      </text>
    </comment>
    <comment authorId="0" ref="P372">
      <text>
        <t xml:space="preserve">MAX(0; total pactado − pagado a esta cuota). Incluye capital, interés y cargos pendientes de ESA cuota.</t>
      </text>
    </comment>
    <comment authorId="0" ref="Q372">
      <text>
        <t xml:space="preserve">Días desde vencimiento hasta corte, solo si venció antes del corte y sigue con saldo.</t>
      </text>
    </comment>
    <comment authorId="0" ref="R372">
      <text>
        <t xml:space="preserve">MAX(0; pagado − cuota pactada). Exceso para revisar: no se traspasa a otra cuota.</t>
      </text>
    </comment>
    <comment authorId="0" ref="S372">
      <text>
        <t xml:space="preserve">Pagada, Vencida, Vence hoy, Por vencer o Exceso sin imputar según fecha y saldo al corte.</t>
      </text>
    </comment>
    <comment authorId="0" ref="T372">
      <text>
        <t xml:space="preserve">Auxiliar para encontrar la primera cuota pendiente. El 999999 indica que esta cuota no tiene saldo pendiente o está fuera del plazo, y no es una fecha real.</t>
      </text>
    </comment>
    <comment authorId="0" ref="C373">
      <text>
        <t xml:space="preserve">Crédito al que corresponde esta cuota.</t>
      </text>
    </comment>
    <comment authorId="0" ref="D373">
      <text>
        <t xml:space="preserve">Número de cuota dentro del crédito.</t>
      </text>
    </comment>
    <comment authorId="0" ref="E373">
      <text>
        <t xml:space="preserve">Fecha según EDATE a partir del primer vencimiento. No ajusta automáticamente feriados.</t>
      </text>
    </comment>
    <comment authorId="0" ref="F373">
      <text>
        <t xml:space="preserve">Capital al inicio del período en el calendario ORIGINAL, sin recalcular por pagos reales.</t>
      </text>
    </comment>
    <comment authorId="0" ref="G373">
      <text>
        <t xml:space="preserve">Tasa efectiva del mes según la base ingresada.</t>
      </text>
    </comment>
    <comment authorId="0" ref="H373">
      <text>
        <t xml:space="preserve">Interés del período = capital inicial × tasa mensual, redondeado a dos decimales.</t>
      </text>
    </comment>
    <comment authorId="0" ref="I373">
      <text>
        <t xml:space="preserve">Capital e interés pactados. La última cuota ajusta el saldo por redondeo.</t>
      </text>
    </comment>
    <comment authorId="0" ref="J373">
      <text>
        <t xml:space="preserve">Capital amortizado TEÓRICO = cuota base − interés, limitado al saldo.</t>
      </text>
    </comment>
    <comment authorId="0" ref="K373">
      <text>
        <t xml:space="preserve">Seguro y otros cargos fijos del mes.</t>
      </text>
    </comment>
    <comment authorId="0" ref="L373">
      <text>
        <t xml:space="preserve">Cuota base + cargos.</t>
      </text>
    </comment>
    <comment authorId="0" ref="M373">
      <text>
        <t xml:space="preserve">Capital final del calendario teórico. No equivale al saldo real si hay pagos parciales o atrasos.</t>
      </text>
    </comment>
    <comment authorId="0" ref="N373">
      <text>
        <t xml:space="preserve">Suma de pagos válidos del mismo ID y cuota con fecha igual o anterior al corte.</t>
      </text>
    </comment>
    <comment authorId="0" ref="O373">
      <text>
        <t xml:space="preserve">MIN(amortización pactada; MAX(0; pagado − cargos − interés)). No imputa excedentes a otras cuotas.</t>
      </text>
    </comment>
    <comment authorId="0" ref="P373">
      <text>
        <t xml:space="preserve">MAX(0; total pactado − pagado a esta cuota). Incluye capital, interés y cargos pendientes de ESA cuota.</t>
      </text>
    </comment>
    <comment authorId="0" ref="Q373">
      <text>
        <t xml:space="preserve">Días desde vencimiento hasta corte, solo si venció antes del corte y sigue con saldo.</t>
      </text>
    </comment>
    <comment authorId="0" ref="R373">
      <text>
        <t xml:space="preserve">MAX(0; pagado − cuota pactada). Exceso para revisar: no se traspasa a otra cuota.</t>
      </text>
    </comment>
    <comment authorId="0" ref="S373">
      <text>
        <t xml:space="preserve">Pagada, Vencida, Vence hoy, Por vencer o Exceso sin imputar según fecha y saldo al corte.</t>
      </text>
    </comment>
    <comment authorId="0" ref="T373">
      <text>
        <t xml:space="preserve">Auxiliar para encontrar la primera cuota pendiente. El 999999 indica que esta cuota no tiene saldo pendiente o está fuera del plazo, y no es una fecha real.</t>
      </text>
    </comment>
    <comment authorId="0" ref="C374">
      <text>
        <t xml:space="preserve">Crédito al que corresponde esta cuota.</t>
      </text>
    </comment>
    <comment authorId="0" ref="D374">
      <text>
        <t xml:space="preserve">Número de cuota dentro del crédito.</t>
      </text>
    </comment>
    <comment authorId="0" ref="E374">
      <text>
        <t xml:space="preserve">Fecha según EDATE a partir del primer vencimiento. No ajusta automáticamente feriados.</t>
      </text>
    </comment>
    <comment authorId="0" ref="F374">
      <text>
        <t xml:space="preserve">Capital al inicio del período en el calendario ORIGINAL, sin recalcular por pagos reales.</t>
      </text>
    </comment>
    <comment authorId="0" ref="G374">
      <text>
        <t xml:space="preserve">Tasa efectiva del mes según la base ingresada.</t>
      </text>
    </comment>
    <comment authorId="0" ref="H374">
      <text>
        <t xml:space="preserve">Interés del período = capital inicial × tasa mensual, redondeado a dos decimales.</t>
      </text>
    </comment>
    <comment authorId="0" ref="I374">
      <text>
        <t xml:space="preserve">Capital e interés pactados. La última cuota ajusta el saldo por redondeo.</t>
      </text>
    </comment>
    <comment authorId="0" ref="J374">
      <text>
        <t xml:space="preserve">Capital amortizado TEÓRICO = cuota base − interés, limitado al saldo.</t>
      </text>
    </comment>
    <comment authorId="0" ref="K374">
      <text>
        <t xml:space="preserve">Seguro y otros cargos fijos del mes.</t>
      </text>
    </comment>
    <comment authorId="0" ref="L374">
      <text>
        <t xml:space="preserve">Cuota base + cargos.</t>
      </text>
    </comment>
    <comment authorId="0" ref="M374">
      <text>
        <t xml:space="preserve">Capital final del calendario teórico. No equivale al saldo real si hay pagos parciales o atrasos.</t>
      </text>
    </comment>
    <comment authorId="0" ref="N374">
      <text>
        <t xml:space="preserve">Suma de pagos válidos del mismo ID y cuota con fecha igual o anterior al corte.</t>
      </text>
    </comment>
    <comment authorId="0" ref="O374">
      <text>
        <t xml:space="preserve">MIN(amortización pactada; MAX(0; pagado − cargos − interés)). No imputa excedentes a otras cuotas.</t>
      </text>
    </comment>
    <comment authorId="0" ref="P374">
      <text>
        <t xml:space="preserve">MAX(0; total pactado − pagado a esta cuota). Incluye capital, interés y cargos pendientes de ESA cuota.</t>
      </text>
    </comment>
    <comment authorId="0" ref="Q374">
      <text>
        <t xml:space="preserve">Días desde vencimiento hasta corte, solo si venció antes del corte y sigue con saldo.</t>
      </text>
    </comment>
    <comment authorId="0" ref="R374">
      <text>
        <t xml:space="preserve">MAX(0; pagado − cuota pactada). Exceso para revisar: no se traspasa a otra cuota.</t>
      </text>
    </comment>
    <comment authorId="0" ref="S374">
      <text>
        <t xml:space="preserve">Pagada, Vencida, Vence hoy, Por vencer o Exceso sin imputar según fecha y saldo al corte.</t>
      </text>
    </comment>
    <comment authorId="0" ref="T374">
      <text>
        <t xml:space="preserve">Auxiliar para encontrar la primera cuota pendiente. El 999999 indica que esta cuota no tiene saldo pendiente o está fuera del plazo, y no es una fecha real.</t>
      </text>
    </comment>
    <comment authorId="0" ref="C375">
      <text>
        <t xml:space="preserve">Crédito al que corresponde esta cuota.</t>
      </text>
    </comment>
    <comment authorId="0" ref="D375">
      <text>
        <t xml:space="preserve">Número de cuota dentro del crédito.</t>
      </text>
    </comment>
    <comment authorId="0" ref="E375">
      <text>
        <t xml:space="preserve">Fecha según EDATE a partir del primer vencimiento. No ajusta automáticamente feriados.</t>
      </text>
    </comment>
    <comment authorId="0" ref="F375">
      <text>
        <t xml:space="preserve">Capital al inicio del período en el calendario ORIGINAL, sin recalcular por pagos reales.</t>
      </text>
    </comment>
    <comment authorId="0" ref="G375">
      <text>
        <t xml:space="preserve">Tasa efectiva del mes según la base ingresada.</t>
      </text>
    </comment>
    <comment authorId="0" ref="H375">
      <text>
        <t xml:space="preserve">Interés del período = capital inicial × tasa mensual, redondeado a dos decimales.</t>
      </text>
    </comment>
    <comment authorId="0" ref="I375">
      <text>
        <t xml:space="preserve">Capital e interés pactados. La última cuota ajusta el saldo por redondeo.</t>
      </text>
    </comment>
    <comment authorId="0" ref="J375">
      <text>
        <t xml:space="preserve">Capital amortizado TEÓRICO = cuota base − interés, limitado al saldo.</t>
      </text>
    </comment>
    <comment authorId="0" ref="K375">
      <text>
        <t xml:space="preserve">Seguro y otros cargos fijos del mes.</t>
      </text>
    </comment>
    <comment authorId="0" ref="L375">
      <text>
        <t xml:space="preserve">Cuota base + cargos.</t>
      </text>
    </comment>
    <comment authorId="0" ref="M375">
      <text>
        <t xml:space="preserve">Capital final del calendario teórico. No equivale al saldo real si hay pagos parciales o atrasos.</t>
      </text>
    </comment>
    <comment authorId="0" ref="N375">
      <text>
        <t xml:space="preserve">Suma de pagos válidos del mismo ID y cuota con fecha igual o anterior al corte.</t>
      </text>
    </comment>
    <comment authorId="0" ref="O375">
      <text>
        <t xml:space="preserve">MIN(amortización pactada; MAX(0; pagado − cargos − interés)). No imputa excedentes a otras cuotas.</t>
      </text>
    </comment>
    <comment authorId="0" ref="P375">
      <text>
        <t xml:space="preserve">MAX(0; total pactado − pagado a esta cuota). Incluye capital, interés y cargos pendientes de ESA cuota.</t>
      </text>
    </comment>
    <comment authorId="0" ref="Q375">
      <text>
        <t xml:space="preserve">Días desde vencimiento hasta corte, solo si venció antes del corte y sigue con saldo.</t>
      </text>
    </comment>
    <comment authorId="0" ref="R375">
      <text>
        <t xml:space="preserve">MAX(0; pagado − cuota pactada). Exceso para revisar: no se traspasa a otra cuota.</t>
      </text>
    </comment>
    <comment authorId="0" ref="S375">
      <text>
        <t xml:space="preserve">Pagada, Vencida, Vence hoy, Por vencer o Exceso sin imputar según fecha y saldo al corte.</t>
      </text>
    </comment>
    <comment authorId="0" ref="T375">
      <text>
        <t xml:space="preserve">Auxiliar para encontrar la primera cuota pendiente. El 999999 indica que esta cuota no tiene saldo pendiente o está fuera del plazo, y no es una fecha real.</t>
      </text>
    </comment>
    <comment authorId="0" ref="C376">
      <text>
        <t xml:space="preserve">Crédito al que corresponde esta cuota.</t>
      </text>
    </comment>
    <comment authorId="0" ref="D376">
      <text>
        <t xml:space="preserve">Número de cuota dentro del crédito.</t>
      </text>
    </comment>
    <comment authorId="0" ref="E376">
      <text>
        <t xml:space="preserve">Fecha según EDATE a partir del primer vencimiento. No ajusta automáticamente feriados.</t>
      </text>
    </comment>
    <comment authorId="0" ref="F376">
      <text>
        <t xml:space="preserve">Capital al inicio del período en el calendario ORIGINAL, sin recalcular por pagos reales.</t>
      </text>
    </comment>
    <comment authorId="0" ref="G376">
      <text>
        <t xml:space="preserve">Tasa efectiva del mes según la base ingresada.</t>
      </text>
    </comment>
    <comment authorId="0" ref="H376">
      <text>
        <t xml:space="preserve">Interés del período = capital inicial × tasa mensual, redondeado a dos decimales.</t>
      </text>
    </comment>
    <comment authorId="0" ref="I376">
      <text>
        <t xml:space="preserve">Capital e interés pactados. La última cuota ajusta el saldo por redondeo.</t>
      </text>
    </comment>
    <comment authorId="0" ref="J376">
      <text>
        <t xml:space="preserve">Capital amortizado TEÓRICO = cuota base − interés, limitado al saldo.</t>
      </text>
    </comment>
    <comment authorId="0" ref="K376">
      <text>
        <t xml:space="preserve">Seguro y otros cargos fijos del mes.</t>
      </text>
    </comment>
    <comment authorId="0" ref="L376">
      <text>
        <t xml:space="preserve">Cuota base + cargos.</t>
      </text>
    </comment>
    <comment authorId="0" ref="M376">
      <text>
        <t xml:space="preserve">Capital final del calendario teórico. No equivale al saldo real si hay pagos parciales o atrasos.</t>
      </text>
    </comment>
    <comment authorId="0" ref="N376">
      <text>
        <t xml:space="preserve">Suma de pagos válidos del mismo ID y cuota con fecha igual o anterior al corte.</t>
      </text>
    </comment>
    <comment authorId="0" ref="O376">
      <text>
        <t xml:space="preserve">MIN(amortización pactada; MAX(0; pagado − cargos − interés)). No imputa excedentes a otras cuotas.</t>
      </text>
    </comment>
    <comment authorId="0" ref="P376">
      <text>
        <t xml:space="preserve">MAX(0; total pactado − pagado a esta cuota). Incluye capital, interés y cargos pendientes de ESA cuota.</t>
      </text>
    </comment>
    <comment authorId="0" ref="Q376">
      <text>
        <t xml:space="preserve">Días desde vencimiento hasta corte, solo si venció antes del corte y sigue con saldo.</t>
      </text>
    </comment>
    <comment authorId="0" ref="R376">
      <text>
        <t xml:space="preserve">MAX(0; pagado − cuota pactada). Exceso para revisar: no se traspasa a otra cuota.</t>
      </text>
    </comment>
    <comment authorId="0" ref="S376">
      <text>
        <t xml:space="preserve">Pagada, Vencida, Vence hoy, Por vencer o Exceso sin imputar según fecha y saldo al corte.</t>
      </text>
    </comment>
    <comment authorId="0" ref="T376">
      <text>
        <t xml:space="preserve">Auxiliar para encontrar la primera cuota pendiente. El 999999 indica que esta cuota no tiene saldo pendiente o está fuera del plazo, y no es una fecha real.</t>
      </text>
    </comment>
    <comment authorId="0" ref="C377">
      <text>
        <t xml:space="preserve">Crédito al que corresponde esta cuota.</t>
      </text>
    </comment>
    <comment authorId="0" ref="D377">
      <text>
        <t xml:space="preserve">Número de cuota dentro del crédito.</t>
      </text>
    </comment>
    <comment authorId="0" ref="E377">
      <text>
        <t xml:space="preserve">Fecha según EDATE a partir del primer vencimiento. No ajusta automáticamente feriados.</t>
      </text>
    </comment>
    <comment authorId="0" ref="F377">
      <text>
        <t xml:space="preserve">Capital al inicio del período en el calendario ORIGINAL, sin recalcular por pagos reales.</t>
      </text>
    </comment>
    <comment authorId="0" ref="G377">
      <text>
        <t xml:space="preserve">Tasa efectiva del mes según la base ingresada.</t>
      </text>
    </comment>
    <comment authorId="0" ref="H377">
      <text>
        <t xml:space="preserve">Interés del período = capital inicial × tasa mensual, redondeado a dos decimales.</t>
      </text>
    </comment>
    <comment authorId="0" ref="I377">
      <text>
        <t xml:space="preserve">Capital e interés pactados. La última cuota ajusta el saldo por redondeo.</t>
      </text>
    </comment>
    <comment authorId="0" ref="J377">
      <text>
        <t xml:space="preserve">Capital amortizado TEÓRICO = cuota base − interés, limitado al saldo.</t>
      </text>
    </comment>
    <comment authorId="0" ref="K377">
      <text>
        <t xml:space="preserve">Seguro y otros cargos fijos del mes.</t>
      </text>
    </comment>
    <comment authorId="0" ref="L377">
      <text>
        <t xml:space="preserve">Cuota base + cargos.</t>
      </text>
    </comment>
    <comment authorId="0" ref="M377">
      <text>
        <t xml:space="preserve">Capital final del calendario teórico. No equivale al saldo real si hay pagos parciales o atrasos.</t>
      </text>
    </comment>
    <comment authorId="0" ref="N377">
      <text>
        <t xml:space="preserve">Suma de pagos válidos del mismo ID y cuota con fecha igual o anterior al corte.</t>
      </text>
    </comment>
    <comment authorId="0" ref="O377">
      <text>
        <t xml:space="preserve">MIN(amortización pactada; MAX(0; pagado − cargos − interés)). No imputa excedentes a otras cuotas.</t>
      </text>
    </comment>
    <comment authorId="0" ref="P377">
      <text>
        <t xml:space="preserve">MAX(0; total pactado − pagado a esta cuota). Incluye capital, interés y cargos pendientes de ESA cuota.</t>
      </text>
    </comment>
    <comment authorId="0" ref="Q377">
      <text>
        <t xml:space="preserve">Días desde vencimiento hasta corte, solo si venció antes del corte y sigue con saldo.</t>
      </text>
    </comment>
    <comment authorId="0" ref="R377">
      <text>
        <t xml:space="preserve">MAX(0; pagado − cuota pactada). Exceso para revisar: no se traspasa a otra cuota.</t>
      </text>
    </comment>
    <comment authorId="0" ref="S377">
      <text>
        <t xml:space="preserve">Pagada, Vencida, Vence hoy, Por vencer o Exceso sin imputar según fecha y saldo al corte.</t>
      </text>
    </comment>
    <comment authorId="0" ref="T377">
      <text>
        <t xml:space="preserve">Auxiliar para encontrar la primera cuota pendiente. El 999999 indica que esta cuota no tiene saldo pendiente o está fuera del plazo, y no es una fecha real.</t>
      </text>
    </comment>
    <comment authorId="0" ref="C378">
      <text>
        <t xml:space="preserve">Crédito al que corresponde esta cuota.</t>
      </text>
    </comment>
    <comment authorId="0" ref="D378">
      <text>
        <t xml:space="preserve">Número de cuota dentro del crédito.</t>
      </text>
    </comment>
    <comment authorId="0" ref="E378">
      <text>
        <t xml:space="preserve">Fecha según EDATE a partir del primer vencimiento. No ajusta automáticamente feriados.</t>
      </text>
    </comment>
    <comment authorId="0" ref="F378">
      <text>
        <t xml:space="preserve">Capital al inicio del período en el calendario ORIGINAL, sin recalcular por pagos reales.</t>
      </text>
    </comment>
    <comment authorId="0" ref="G378">
      <text>
        <t xml:space="preserve">Tasa efectiva del mes según la base ingresada.</t>
      </text>
    </comment>
    <comment authorId="0" ref="H378">
      <text>
        <t xml:space="preserve">Interés del período = capital inicial × tasa mensual, redondeado a dos decimales.</t>
      </text>
    </comment>
    <comment authorId="0" ref="I378">
      <text>
        <t xml:space="preserve">Capital e interés pactados. La última cuota ajusta el saldo por redondeo.</t>
      </text>
    </comment>
    <comment authorId="0" ref="J378">
      <text>
        <t xml:space="preserve">Capital amortizado TEÓRICO = cuota base − interés, limitado al saldo.</t>
      </text>
    </comment>
    <comment authorId="0" ref="K378">
      <text>
        <t xml:space="preserve">Seguro y otros cargos fijos del mes.</t>
      </text>
    </comment>
    <comment authorId="0" ref="L378">
      <text>
        <t xml:space="preserve">Cuota base + cargos.</t>
      </text>
    </comment>
    <comment authorId="0" ref="M378">
      <text>
        <t xml:space="preserve">Capital final del calendario teórico. No equivale al saldo real si hay pagos parciales o atrasos.</t>
      </text>
    </comment>
    <comment authorId="0" ref="N378">
      <text>
        <t xml:space="preserve">Suma de pagos válidos del mismo ID y cuota con fecha igual o anterior al corte.</t>
      </text>
    </comment>
    <comment authorId="0" ref="O378">
      <text>
        <t xml:space="preserve">MIN(amortización pactada; MAX(0; pagado − cargos − interés)). No imputa excedentes a otras cuotas.</t>
      </text>
    </comment>
    <comment authorId="0" ref="P378">
      <text>
        <t xml:space="preserve">MAX(0; total pactado − pagado a esta cuota). Incluye capital, interés y cargos pendientes de ESA cuota.</t>
      </text>
    </comment>
    <comment authorId="0" ref="Q378">
      <text>
        <t xml:space="preserve">Días desde vencimiento hasta corte, solo si venció antes del corte y sigue con saldo.</t>
      </text>
    </comment>
    <comment authorId="0" ref="R378">
      <text>
        <t xml:space="preserve">MAX(0; pagado − cuota pactada). Exceso para revisar: no se traspasa a otra cuota.</t>
      </text>
    </comment>
    <comment authorId="0" ref="S378">
      <text>
        <t xml:space="preserve">Pagada, Vencida, Vence hoy, Por vencer o Exceso sin imputar según fecha y saldo al corte.</t>
      </text>
    </comment>
    <comment authorId="0" ref="T378">
      <text>
        <t xml:space="preserve">Auxiliar para encontrar la primera cuota pendiente. El 999999 indica que esta cuota no tiene saldo pendiente o está fuera del plazo, y no es una fecha real.</t>
      </text>
    </comment>
    <comment authorId="0" ref="C379">
      <text>
        <t xml:space="preserve">Crédito al que corresponde esta cuota.</t>
      </text>
    </comment>
    <comment authorId="0" ref="D379">
      <text>
        <t xml:space="preserve">Número de cuota dentro del crédito.</t>
      </text>
    </comment>
    <comment authorId="0" ref="E379">
      <text>
        <t xml:space="preserve">Fecha según EDATE a partir del primer vencimiento. No ajusta automáticamente feriados.</t>
      </text>
    </comment>
    <comment authorId="0" ref="F379">
      <text>
        <t xml:space="preserve">Capital al inicio del período en el calendario ORIGINAL, sin recalcular por pagos reales.</t>
      </text>
    </comment>
    <comment authorId="0" ref="G379">
      <text>
        <t xml:space="preserve">Tasa efectiva del mes según la base ingresada.</t>
      </text>
    </comment>
    <comment authorId="0" ref="H379">
      <text>
        <t xml:space="preserve">Interés del período = capital inicial × tasa mensual, redondeado a dos decimales.</t>
      </text>
    </comment>
    <comment authorId="0" ref="I379">
      <text>
        <t xml:space="preserve">Capital e interés pactados. La última cuota ajusta el saldo por redondeo.</t>
      </text>
    </comment>
    <comment authorId="0" ref="J379">
      <text>
        <t xml:space="preserve">Capital amortizado TEÓRICO = cuota base − interés, limitado al saldo.</t>
      </text>
    </comment>
    <comment authorId="0" ref="K379">
      <text>
        <t xml:space="preserve">Seguro y otros cargos fijos del mes.</t>
      </text>
    </comment>
    <comment authorId="0" ref="L379">
      <text>
        <t xml:space="preserve">Cuota base + cargos.</t>
      </text>
    </comment>
    <comment authorId="0" ref="M379">
      <text>
        <t xml:space="preserve">Capital final del calendario teórico. No equivale al saldo real si hay pagos parciales o atrasos.</t>
      </text>
    </comment>
    <comment authorId="0" ref="N379">
      <text>
        <t xml:space="preserve">Suma de pagos válidos del mismo ID y cuota con fecha igual o anterior al corte.</t>
      </text>
    </comment>
    <comment authorId="0" ref="O379">
      <text>
        <t xml:space="preserve">MIN(amortización pactada; MAX(0; pagado − cargos − interés)). No imputa excedentes a otras cuotas.</t>
      </text>
    </comment>
    <comment authorId="0" ref="P379">
      <text>
        <t xml:space="preserve">MAX(0; total pactado − pagado a esta cuota). Incluye capital, interés y cargos pendientes de ESA cuota.</t>
      </text>
    </comment>
    <comment authorId="0" ref="Q379">
      <text>
        <t xml:space="preserve">Días desde vencimiento hasta corte, solo si venció antes del corte y sigue con saldo.</t>
      </text>
    </comment>
    <comment authorId="0" ref="R379">
      <text>
        <t xml:space="preserve">MAX(0; pagado − cuota pactada). Exceso para revisar: no se traspasa a otra cuota.</t>
      </text>
    </comment>
    <comment authorId="0" ref="S379">
      <text>
        <t xml:space="preserve">Pagada, Vencida, Vence hoy, Por vencer o Exceso sin imputar según fecha y saldo al corte.</t>
      </text>
    </comment>
    <comment authorId="0" ref="T379">
      <text>
        <t xml:space="preserve">Auxiliar para encontrar la primera cuota pendiente. El 999999 indica que esta cuota no tiene saldo pendiente o está fuera del plazo, y no es una fecha real.</t>
      </text>
    </comment>
    <comment authorId="0" ref="C380">
      <text>
        <t xml:space="preserve">Crédito al que corresponde esta cuota.</t>
      </text>
    </comment>
    <comment authorId="0" ref="D380">
      <text>
        <t xml:space="preserve">Número de cuota dentro del crédito.</t>
      </text>
    </comment>
    <comment authorId="0" ref="E380">
      <text>
        <t xml:space="preserve">Fecha según EDATE a partir del primer vencimiento. No ajusta automáticamente feriados.</t>
      </text>
    </comment>
    <comment authorId="0" ref="F380">
      <text>
        <t xml:space="preserve">Capital al inicio del período en el calendario ORIGINAL, sin recalcular por pagos reales.</t>
      </text>
    </comment>
    <comment authorId="0" ref="G380">
      <text>
        <t xml:space="preserve">Tasa efectiva del mes según la base ingresada.</t>
      </text>
    </comment>
    <comment authorId="0" ref="H380">
      <text>
        <t xml:space="preserve">Interés del período = capital inicial × tasa mensual, redondeado a dos decimales.</t>
      </text>
    </comment>
    <comment authorId="0" ref="I380">
      <text>
        <t xml:space="preserve">Capital e interés pactados. La última cuota ajusta el saldo por redondeo.</t>
      </text>
    </comment>
    <comment authorId="0" ref="J380">
      <text>
        <t xml:space="preserve">Capital amortizado TEÓRICO = cuota base − interés, limitado al saldo.</t>
      </text>
    </comment>
    <comment authorId="0" ref="K380">
      <text>
        <t xml:space="preserve">Seguro y otros cargos fijos del mes.</t>
      </text>
    </comment>
    <comment authorId="0" ref="L380">
      <text>
        <t xml:space="preserve">Cuota base + cargos.</t>
      </text>
    </comment>
    <comment authorId="0" ref="M380">
      <text>
        <t xml:space="preserve">Capital final del calendario teórico. No equivale al saldo real si hay pagos parciales o atrasos.</t>
      </text>
    </comment>
    <comment authorId="0" ref="N380">
      <text>
        <t xml:space="preserve">Suma de pagos válidos del mismo ID y cuota con fecha igual o anterior al corte.</t>
      </text>
    </comment>
    <comment authorId="0" ref="O380">
      <text>
        <t xml:space="preserve">MIN(amortización pactada; MAX(0; pagado − cargos − interés)). No imputa excedentes a otras cuotas.</t>
      </text>
    </comment>
    <comment authorId="0" ref="P380">
      <text>
        <t xml:space="preserve">MAX(0; total pactado − pagado a esta cuota). Incluye capital, interés y cargos pendientes de ESA cuota.</t>
      </text>
    </comment>
    <comment authorId="0" ref="Q380">
      <text>
        <t xml:space="preserve">Días desde vencimiento hasta corte, solo si venció antes del corte y sigue con saldo.</t>
      </text>
    </comment>
    <comment authorId="0" ref="R380">
      <text>
        <t xml:space="preserve">MAX(0; pagado − cuota pactada). Exceso para revisar: no se traspasa a otra cuota.</t>
      </text>
    </comment>
    <comment authorId="0" ref="S380">
      <text>
        <t xml:space="preserve">Pagada, Vencida, Vence hoy, Por vencer o Exceso sin imputar según fecha y saldo al corte.</t>
      </text>
    </comment>
    <comment authorId="0" ref="T380">
      <text>
        <t xml:space="preserve">Auxiliar para encontrar la primera cuota pendiente. El 999999 indica que esta cuota no tiene saldo pendiente o está fuera del plazo, y no es una fecha real.</t>
      </text>
    </comment>
    <comment authorId="0" ref="C381">
      <text>
        <t xml:space="preserve">Crédito al que corresponde esta cuota.</t>
      </text>
    </comment>
    <comment authorId="0" ref="D381">
      <text>
        <t xml:space="preserve">Número de cuota dentro del crédito.</t>
      </text>
    </comment>
    <comment authorId="0" ref="E381">
      <text>
        <t xml:space="preserve">Fecha según EDATE a partir del primer vencimiento. No ajusta automáticamente feriados.</t>
      </text>
    </comment>
    <comment authorId="0" ref="F381">
      <text>
        <t xml:space="preserve">Capital al inicio del período en el calendario ORIGINAL, sin recalcular por pagos reales.</t>
      </text>
    </comment>
    <comment authorId="0" ref="G381">
      <text>
        <t xml:space="preserve">Tasa efectiva del mes según la base ingresada.</t>
      </text>
    </comment>
    <comment authorId="0" ref="H381">
      <text>
        <t xml:space="preserve">Interés del período = capital inicial × tasa mensual, redondeado a dos decimales.</t>
      </text>
    </comment>
    <comment authorId="0" ref="I381">
      <text>
        <t xml:space="preserve">Capital e interés pactados. La última cuota ajusta el saldo por redondeo.</t>
      </text>
    </comment>
    <comment authorId="0" ref="J381">
      <text>
        <t xml:space="preserve">Capital amortizado TEÓRICO = cuota base − interés, limitado al saldo.</t>
      </text>
    </comment>
    <comment authorId="0" ref="K381">
      <text>
        <t xml:space="preserve">Seguro y otros cargos fijos del mes.</t>
      </text>
    </comment>
    <comment authorId="0" ref="L381">
      <text>
        <t xml:space="preserve">Cuota base + cargos.</t>
      </text>
    </comment>
    <comment authorId="0" ref="M381">
      <text>
        <t xml:space="preserve">Capital final del calendario teórico. No equivale al saldo real si hay pagos parciales o atrasos.</t>
      </text>
    </comment>
    <comment authorId="0" ref="N381">
      <text>
        <t xml:space="preserve">Suma de pagos válidos del mismo ID y cuota con fecha igual o anterior al corte.</t>
      </text>
    </comment>
    <comment authorId="0" ref="O381">
      <text>
        <t xml:space="preserve">MIN(amortización pactada; MAX(0; pagado − cargos − interés)). No imputa excedentes a otras cuotas.</t>
      </text>
    </comment>
    <comment authorId="0" ref="P381">
      <text>
        <t xml:space="preserve">MAX(0; total pactado − pagado a esta cuota). Incluye capital, interés y cargos pendientes de ESA cuota.</t>
      </text>
    </comment>
    <comment authorId="0" ref="Q381">
      <text>
        <t xml:space="preserve">Días desde vencimiento hasta corte, solo si venció antes del corte y sigue con saldo.</t>
      </text>
    </comment>
    <comment authorId="0" ref="R381">
      <text>
        <t xml:space="preserve">MAX(0; pagado − cuota pactada). Exceso para revisar: no se traspasa a otra cuota.</t>
      </text>
    </comment>
    <comment authorId="0" ref="S381">
      <text>
        <t xml:space="preserve">Pagada, Vencida, Vence hoy, Por vencer o Exceso sin imputar según fecha y saldo al corte.</t>
      </text>
    </comment>
    <comment authorId="0" ref="T381">
      <text>
        <t xml:space="preserve">Auxiliar para encontrar la primera cuota pendiente. El 999999 indica que esta cuota no tiene saldo pendiente o está fuera del plazo, y no es una fecha real.</t>
      </text>
    </comment>
    <comment authorId="0" ref="C382">
      <text>
        <t xml:space="preserve">Crédito al que corresponde esta cuota.</t>
      </text>
    </comment>
    <comment authorId="0" ref="D382">
      <text>
        <t xml:space="preserve">Número de cuota dentro del crédito.</t>
      </text>
    </comment>
    <comment authorId="0" ref="E382">
      <text>
        <t xml:space="preserve">Fecha según EDATE a partir del primer vencimiento. No ajusta automáticamente feriados.</t>
      </text>
    </comment>
    <comment authorId="0" ref="F382">
      <text>
        <t xml:space="preserve">Capital al inicio del período en el calendario ORIGINAL, sin recalcular por pagos reales.</t>
      </text>
    </comment>
    <comment authorId="0" ref="G382">
      <text>
        <t xml:space="preserve">Tasa efectiva del mes según la base ingresada.</t>
      </text>
    </comment>
    <comment authorId="0" ref="H382">
      <text>
        <t xml:space="preserve">Interés del período = capital inicial × tasa mensual, redondeado a dos decimales.</t>
      </text>
    </comment>
    <comment authorId="0" ref="I382">
      <text>
        <t xml:space="preserve">Capital e interés pactados. La última cuota ajusta el saldo por redondeo.</t>
      </text>
    </comment>
    <comment authorId="0" ref="J382">
      <text>
        <t xml:space="preserve">Capital amortizado TEÓRICO = cuota base − interés, limitado al saldo.</t>
      </text>
    </comment>
    <comment authorId="0" ref="K382">
      <text>
        <t xml:space="preserve">Seguro y otros cargos fijos del mes.</t>
      </text>
    </comment>
    <comment authorId="0" ref="L382">
      <text>
        <t xml:space="preserve">Cuota base + cargos.</t>
      </text>
    </comment>
    <comment authorId="0" ref="M382">
      <text>
        <t xml:space="preserve">Capital final del calendario teórico. No equivale al saldo real si hay pagos parciales o atrasos.</t>
      </text>
    </comment>
    <comment authorId="0" ref="N382">
      <text>
        <t xml:space="preserve">Suma de pagos válidos del mismo ID y cuota con fecha igual o anterior al corte.</t>
      </text>
    </comment>
    <comment authorId="0" ref="O382">
      <text>
        <t xml:space="preserve">MIN(amortización pactada; MAX(0; pagado − cargos − interés)). No imputa excedentes a otras cuotas.</t>
      </text>
    </comment>
    <comment authorId="0" ref="P382">
      <text>
        <t xml:space="preserve">MAX(0; total pactado − pagado a esta cuota). Incluye capital, interés y cargos pendientes de ESA cuota.</t>
      </text>
    </comment>
    <comment authorId="0" ref="Q382">
      <text>
        <t xml:space="preserve">Días desde vencimiento hasta corte, solo si venció antes del corte y sigue con saldo.</t>
      </text>
    </comment>
    <comment authorId="0" ref="R382">
      <text>
        <t xml:space="preserve">MAX(0; pagado − cuota pactada). Exceso para revisar: no se traspasa a otra cuota.</t>
      </text>
    </comment>
    <comment authorId="0" ref="S382">
      <text>
        <t xml:space="preserve">Pagada, Vencida, Vence hoy, Por vencer o Exceso sin imputar según fecha y saldo al corte.</t>
      </text>
    </comment>
    <comment authorId="0" ref="T382">
      <text>
        <t xml:space="preserve">Auxiliar para encontrar la primera cuota pendiente. El 999999 indica que esta cuota no tiene saldo pendiente o está fuera del plazo, y no es una fecha real.</t>
      </text>
    </comment>
    <comment authorId="0" ref="C383">
      <text>
        <t xml:space="preserve">Crédito al que corresponde esta cuota.</t>
      </text>
    </comment>
    <comment authorId="0" ref="D383">
      <text>
        <t xml:space="preserve">Número de cuota dentro del crédito.</t>
      </text>
    </comment>
    <comment authorId="0" ref="E383">
      <text>
        <t xml:space="preserve">Fecha según EDATE a partir del primer vencimiento. No ajusta automáticamente feriados.</t>
      </text>
    </comment>
    <comment authorId="0" ref="F383">
      <text>
        <t xml:space="preserve">Capital al inicio del período en el calendario ORIGINAL, sin recalcular por pagos reales.</t>
      </text>
    </comment>
    <comment authorId="0" ref="G383">
      <text>
        <t xml:space="preserve">Tasa efectiva del mes según la base ingresada.</t>
      </text>
    </comment>
    <comment authorId="0" ref="H383">
      <text>
        <t xml:space="preserve">Interés del período = capital inicial × tasa mensual, redondeado a dos decimales.</t>
      </text>
    </comment>
    <comment authorId="0" ref="I383">
      <text>
        <t xml:space="preserve">Capital e interés pactados. La última cuota ajusta el saldo por redondeo.</t>
      </text>
    </comment>
    <comment authorId="0" ref="J383">
      <text>
        <t xml:space="preserve">Capital amortizado TEÓRICO = cuota base − interés, limitado al saldo.</t>
      </text>
    </comment>
    <comment authorId="0" ref="K383">
      <text>
        <t xml:space="preserve">Seguro y otros cargos fijos del mes.</t>
      </text>
    </comment>
    <comment authorId="0" ref="L383">
      <text>
        <t xml:space="preserve">Cuota base + cargos.</t>
      </text>
    </comment>
    <comment authorId="0" ref="M383">
      <text>
        <t xml:space="preserve">Capital final del calendario teórico. No equivale al saldo real si hay pagos parciales o atrasos.</t>
      </text>
    </comment>
    <comment authorId="0" ref="N383">
      <text>
        <t xml:space="preserve">Suma de pagos válidos del mismo ID y cuota con fecha igual o anterior al corte.</t>
      </text>
    </comment>
    <comment authorId="0" ref="O383">
      <text>
        <t xml:space="preserve">MIN(amortización pactada; MAX(0; pagado − cargos − interés)). No imputa excedentes a otras cuotas.</t>
      </text>
    </comment>
    <comment authorId="0" ref="P383">
      <text>
        <t xml:space="preserve">MAX(0; total pactado − pagado a esta cuota). Incluye capital, interés y cargos pendientes de ESA cuota.</t>
      </text>
    </comment>
    <comment authorId="0" ref="Q383">
      <text>
        <t xml:space="preserve">Días desde vencimiento hasta corte, solo si venció antes del corte y sigue con saldo.</t>
      </text>
    </comment>
    <comment authorId="0" ref="R383">
      <text>
        <t xml:space="preserve">MAX(0; pagado − cuota pactada). Exceso para revisar: no se traspasa a otra cuota.</t>
      </text>
    </comment>
    <comment authorId="0" ref="S383">
      <text>
        <t xml:space="preserve">Pagada, Vencida, Vence hoy, Por vencer o Exceso sin imputar según fecha y saldo al corte.</t>
      </text>
    </comment>
    <comment authorId="0" ref="T383">
      <text>
        <t xml:space="preserve">Auxiliar para encontrar la primera cuota pendiente. El 999999 indica que esta cuota no tiene saldo pendiente o está fuera del plazo, y no es una fecha real.</t>
      </text>
    </comment>
    <comment authorId="0" ref="C384">
      <text>
        <t xml:space="preserve">Crédito al que corresponde esta cuota.</t>
      </text>
    </comment>
    <comment authorId="0" ref="D384">
      <text>
        <t xml:space="preserve">Número de cuota dentro del crédito.</t>
      </text>
    </comment>
    <comment authorId="0" ref="E384">
      <text>
        <t xml:space="preserve">Fecha según EDATE a partir del primer vencimiento. No ajusta automáticamente feriados.</t>
      </text>
    </comment>
    <comment authorId="0" ref="F384">
      <text>
        <t xml:space="preserve">Capital al inicio del período en el calendario ORIGINAL, sin recalcular por pagos reales.</t>
      </text>
    </comment>
    <comment authorId="0" ref="G384">
      <text>
        <t xml:space="preserve">Tasa efectiva del mes según la base ingresada.</t>
      </text>
    </comment>
    <comment authorId="0" ref="H384">
      <text>
        <t xml:space="preserve">Interés del período = capital inicial × tasa mensual, redondeado a dos decimales.</t>
      </text>
    </comment>
    <comment authorId="0" ref="I384">
      <text>
        <t xml:space="preserve">Capital e interés pactados. La última cuota ajusta el saldo por redondeo.</t>
      </text>
    </comment>
    <comment authorId="0" ref="J384">
      <text>
        <t xml:space="preserve">Capital amortizado TEÓRICO = cuota base − interés, limitado al saldo.</t>
      </text>
    </comment>
    <comment authorId="0" ref="K384">
      <text>
        <t xml:space="preserve">Seguro y otros cargos fijos del mes.</t>
      </text>
    </comment>
    <comment authorId="0" ref="L384">
      <text>
        <t xml:space="preserve">Cuota base + cargos.</t>
      </text>
    </comment>
    <comment authorId="0" ref="M384">
      <text>
        <t xml:space="preserve">Capital final del calendario teórico. No equivale al saldo real si hay pagos parciales o atrasos.</t>
      </text>
    </comment>
    <comment authorId="0" ref="N384">
      <text>
        <t xml:space="preserve">Suma de pagos válidos del mismo ID y cuota con fecha igual o anterior al corte.</t>
      </text>
    </comment>
    <comment authorId="0" ref="O384">
      <text>
        <t xml:space="preserve">MIN(amortización pactada; MAX(0; pagado − cargos − interés)). No imputa excedentes a otras cuotas.</t>
      </text>
    </comment>
    <comment authorId="0" ref="P384">
      <text>
        <t xml:space="preserve">MAX(0; total pactado − pagado a esta cuota). Incluye capital, interés y cargos pendientes de ESA cuota.</t>
      </text>
    </comment>
    <comment authorId="0" ref="Q384">
      <text>
        <t xml:space="preserve">Días desde vencimiento hasta corte, solo si venció antes del corte y sigue con saldo.</t>
      </text>
    </comment>
    <comment authorId="0" ref="R384">
      <text>
        <t xml:space="preserve">MAX(0; pagado − cuota pactada). Exceso para revisar: no se traspasa a otra cuota.</t>
      </text>
    </comment>
    <comment authorId="0" ref="S384">
      <text>
        <t xml:space="preserve">Pagada, Vencida, Vence hoy, Por vencer o Exceso sin imputar según fecha y saldo al corte.</t>
      </text>
    </comment>
    <comment authorId="0" ref="T384">
      <text>
        <t xml:space="preserve">Auxiliar para encontrar la primera cuota pendiente. El 999999 indica que esta cuota no tiene saldo pendiente o está fuera del plazo, y no es una fecha real.</t>
      </text>
    </comment>
    <comment authorId="0" ref="C385">
      <text>
        <t xml:space="preserve">Crédito al que corresponde esta cuota.</t>
      </text>
    </comment>
    <comment authorId="0" ref="D385">
      <text>
        <t xml:space="preserve">Número de cuota dentro del crédito.</t>
      </text>
    </comment>
    <comment authorId="0" ref="E385">
      <text>
        <t xml:space="preserve">Fecha según EDATE a partir del primer vencimiento. No ajusta automáticamente feriados.</t>
      </text>
    </comment>
    <comment authorId="0" ref="F385">
      <text>
        <t xml:space="preserve">Capital al inicio del período en el calendario ORIGINAL, sin recalcular por pagos reales.</t>
      </text>
    </comment>
    <comment authorId="0" ref="G385">
      <text>
        <t xml:space="preserve">Tasa efectiva del mes según la base ingresada.</t>
      </text>
    </comment>
    <comment authorId="0" ref="H385">
      <text>
        <t xml:space="preserve">Interés del período = capital inicial × tasa mensual, redondeado a dos decimales.</t>
      </text>
    </comment>
    <comment authorId="0" ref="I385">
      <text>
        <t xml:space="preserve">Capital e interés pactados. La última cuota ajusta el saldo por redondeo.</t>
      </text>
    </comment>
    <comment authorId="0" ref="J385">
      <text>
        <t xml:space="preserve">Capital amortizado TEÓRICO = cuota base − interés, limitado al saldo.</t>
      </text>
    </comment>
    <comment authorId="0" ref="K385">
      <text>
        <t xml:space="preserve">Seguro y otros cargos fijos del mes.</t>
      </text>
    </comment>
    <comment authorId="0" ref="L385">
      <text>
        <t xml:space="preserve">Cuota base + cargos.</t>
      </text>
    </comment>
    <comment authorId="0" ref="M385">
      <text>
        <t xml:space="preserve">Capital final del calendario teórico. No equivale al saldo real si hay pagos parciales o atrasos.</t>
      </text>
    </comment>
    <comment authorId="0" ref="N385">
      <text>
        <t xml:space="preserve">Suma de pagos válidos del mismo ID y cuota con fecha igual o anterior al corte.</t>
      </text>
    </comment>
    <comment authorId="0" ref="O385">
      <text>
        <t xml:space="preserve">MIN(amortización pactada; MAX(0; pagado − cargos − interés)). No imputa excedentes a otras cuotas.</t>
      </text>
    </comment>
    <comment authorId="0" ref="P385">
      <text>
        <t xml:space="preserve">MAX(0; total pactado − pagado a esta cuota). Incluye capital, interés y cargos pendientes de ESA cuota.</t>
      </text>
    </comment>
    <comment authorId="0" ref="Q385">
      <text>
        <t xml:space="preserve">Días desde vencimiento hasta corte, solo si venció antes del corte y sigue con saldo.</t>
      </text>
    </comment>
    <comment authorId="0" ref="R385">
      <text>
        <t xml:space="preserve">MAX(0; pagado − cuota pactada). Exceso para revisar: no se traspasa a otra cuota.</t>
      </text>
    </comment>
    <comment authorId="0" ref="S385">
      <text>
        <t xml:space="preserve">Pagada, Vencida, Vence hoy, Por vencer o Exceso sin imputar según fecha y saldo al corte.</t>
      </text>
    </comment>
    <comment authorId="0" ref="T385">
      <text>
        <t xml:space="preserve">Auxiliar para encontrar la primera cuota pendiente. El 999999 indica que esta cuota no tiene saldo pendiente o está fuera del plazo, y no es una fecha real.</t>
      </text>
    </comment>
    <comment authorId="0" ref="C386">
      <text>
        <t xml:space="preserve">Crédito al que corresponde esta cuota.</t>
      </text>
    </comment>
    <comment authorId="0" ref="D386">
      <text>
        <t xml:space="preserve">Número de cuota dentro del crédito.</t>
      </text>
    </comment>
    <comment authorId="0" ref="E386">
      <text>
        <t xml:space="preserve">Fecha según EDATE a partir del primer vencimiento. No ajusta automáticamente feriados.</t>
      </text>
    </comment>
    <comment authorId="0" ref="F386">
      <text>
        <t xml:space="preserve">Capital al inicio del período en el calendario ORIGINAL, sin recalcular por pagos reales.</t>
      </text>
    </comment>
    <comment authorId="0" ref="G386">
      <text>
        <t xml:space="preserve">Tasa efectiva del mes según la base ingresada.</t>
      </text>
    </comment>
    <comment authorId="0" ref="H386">
      <text>
        <t xml:space="preserve">Interés del período = capital inicial × tasa mensual, redondeado a dos decimales.</t>
      </text>
    </comment>
    <comment authorId="0" ref="I386">
      <text>
        <t xml:space="preserve">Capital e interés pactados. La última cuota ajusta el saldo por redondeo.</t>
      </text>
    </comment>
    <comment authorId="0" ref="J386">
      <text>
        <t xml:space="preserve">Capital amortizado TEÓRICO = cuota base − interés, limitado al saldo.</t>
      </text>
    </comment>
    <comment authorId="0" ref="K386">
      <text>
        <t xml:space="preserve">Seguro y otros cargos fijos del mes.</t>
      </text>
    </comment>
    <comment authorId="0" ref="L386">
      <text>
        <t xml:space="preserve">Cuota base + cargos.</t>
      </text>
    </comment>
    <comment authorId="0" ref="M386">
      <text>
        <t xml:space="preserve">Capital final del calendario teórico. No equivale al saldo real si hay pagos parciales o atrasos.</t>
      </text>
    </comment>
    <comment authorId="0" ref="N386">
      <text>
        <t xml:space="preserve">Suma de pagos válidos del mismo ID y cuota con fecha igual o anterior al corte.</t>
      </text>
    </comment>
    <comment authorId="0" ref="O386">
      <text>
        <t xml:space="preserve">MIN(amortización pactada; MAX(0; pagado − cargos − interés)). No imputa excedentes a otras cuotas.</t>
      </text>
    </comment>
    <comment authorId="0" ref="P386">
      <text>
        <t xml:space="preserve">MAX(0; total pactado − pagado a esta cuota). Incluye capital, interés y cargos pendientes de ESA cuota.</t>
      </text>
    </comment>
    <comment authorId="0" ref="Q386">
      <text>
        <t xml:space="preserve">Días desde vencimiento hasta corte, solo si venció antes del corte y sigue con saldo.</t>
      </text>
    </comment>
    <comment authorId="0" ref="R386">
      <text>
        <t xml:space="preserve">MAX(0; pagado − cuota pactada). Exceso para revisar: no se traspasa a otra cuota.</t>
      </text>
    </comment>
    <comment authorId="0" ref="S386">
      <text>
        <t xml:space="preserve">Pagada, Vencida, Vence hoy, Por vencer o Exceso sin imputar según fecha y saldo al corte.</t>
      </text>
    </comment>
    <comment authorId="0" ref="T386">
      <text>
        <t xml:space="preserve">Auxiliar para encontrar la primera cuota pendiente. El 999999 indica que esta cuota no tiene saldo pendiente o está fuera del plazo, y no es una fecha real.</t>
      </text>
    </comment>
    <comment authorId="0" ref="C387">
      <text>
        <t xml:space="preserve">Crédito al que corresponde esta cuota.</t>
      </text>
    </comment>
    <comment authorId="0" ref="D387">
      <text>
        <t xml:space="preserve">Número de cuota dentro del crédito.</t>
      </text>
    </comment>
    <comment authorId="0" ref="E387">
      <text>
        <t xml:space="preserve">Fecha según EDATE a partir del primer vencimiento. No ajusta automáticamente feriados.</t>
      </text>
    </comment>
    <comment authorId="0" ref="F387">
      <text>
        <t xml:space="preserve">Capital al inicio del período en el calendario ORIGINAL, sin recalcular por pagos reales.</t>
      </text>
    </comment>
    <comment authorId="0" ref="G387">
      <text>
        <t xml:space="preserve">Tasa efectiva del mes según la base ingresada.</t>
      </text>
    </comment>
    <comment authorId="0" ref="H387">
      <text>
        <t xml:space="preserve">Interés del período = capital inicial × tasa mensual, redondeado a dos decimales.</t>
      </text>
    </comment>
    <comment authorId="0" ref="I387">
      <text>
        <t xml:space="preserve">Capital e interés pactados. La última cuota ajusta el saldo por redondeo.</t>
      </text>
    </comment>
    <comment authorId="0" ref="J387">
      <text>
        <t xml:space="preserve">Capital amortizado TEÓRICO = cuota base − interés, limitado al saldo.</t>
      </text>
    </comment>
    <comment authorId="0" ref="K387">
      <text>
        <t xml:space="preserve">Seguro y otros cargos fijos del mes.</t>
      </text>
    </comment>
    <comment authorId="0" ref="L387">
      <text>
        <t xml:space="preserve">Cuota base + cargos.</t>
      </text>
    </comment>
    <comment authorId="0" ref="M387">
      <text>
        <t xml:space="preserve">Capital final del calendario teórico. No equivale al saldo real si hay pagos parciales o atrasos.</t>
      </text>
    </comment>
    <comment authorId="0" ref="N387">
      <text>
        <t xml:space="preserve">Suma de pagos válidos del mismo ID y cuota con fecha igual o anterior al corte.</t>
      </text>
    </comment>
    <comment authorId="0" ref="O387">
      <text>
        <t xml:space="preserve">MIN(amortización pactada; MAX(0; pagado − cargos − interés)). No imputa excedentes a otras cuotas.</t>
      </text>
    </comment>
    <comment authorId="0" ref="P387">
      <text>
        <t xml:space="preserve">MAX(0; total pactado − pagado a esta cuota). Incluye capital, interés y cargos pendientes de ESA cuota.</t>
      </text>
    </comment>
    <comment authorId="0" ref="Q387">
      <text>
        <t xml:space="preserve">Días desde vencimiento hasta corte, solo si venció antes del corte y sigue con saldo.</t>
      </text>
    </comment>
    <comment authorId="0" ref="R387">
      <text>
        <t xml:space="preserve">MAX(0; pagado − cuota pactada). Exceso para revisar: no se traspasa a otra cuota.</t>
      </text>
    </comment>
    <comment authorId="0" ref="S387">
      <text>
        <t xml:space="preserve">Pagada, Vencida, Vence hoy, Por vencer o Exceso sin imputar según fecha y saldo al corte.</t>
      </text>
    </comment>
    <comment authorId="0" ref="T387">
      <text>
        <t xml:space="preserve">Auxiliar para encontrar la primera cuota pendiente. El 999999 indica que esta cuota no tiene saldo pendiente o está fuera del plazo, y no es una fecha real.</t>
      </text>
    </comment>
    <comment authorId="0" ref="C388">
      <text>
        <t xml:space="preserve">Crédito al que corresponde esta cuota.</t>
      </text>
    </comment>
    <comment authorId="0" ref="D388">
      <text>
        <t xml:space="preserve">Número de cuota dentro del crédito.</t>
      </text>
    </comment>
    <comment authorId="0" ref="E388">
      <text>
        <t xml:space="preserve">Fecha según EDATE a partir del primer vencimiento. No ajusta automáticamente feriados.</t>
      </text>
    </comment>
    <comment authorId="0" ref="F388">
      <text>
        <t xml:space="preserve">Capital al inicio del período en el calendario ORIGINAL, sin recalcular por pagos reales.</t>
      </text>
    </comment>
    <comment authorId="0" ref="G388">
      <text>
        <t xml:space="preserve">Tasa efectiva del mes según la base ingresada.</t>
      </text>
    </comment>
    <comment authorId="0" ref="H388">
      <text>
        <t xml:space="preserve">Interés del período = capital inicial × tasa mensual, redondeado a dos decimales.</t>
      </text>
    </comment>
    <comment authorId="0" ref="I388">
      <text>
        <t xml:space="preserve">Capital e interés pactados. La última cuota ajusta el saldo por redondeo.</t>
      </text>
    </comment>
    <comment authorId="0" ref="J388">
      <text>
        <t xml:space="preserve">Capital amortizado TEÓRICO = cuota base − interés, limitado al saldo.</t>
      </text>
    </comment>
    <comment authorId="0" ref="K388">
      <text>
        <t xml:space="preserve">Seguro y otros cargos fijos del mes.</t>
      </text>
    </comment>
    <comment authorId="0" ref="L388">
      <text>
        <t xml:space="preserve">Cuota base + cargos.</t>
      </text>
    </comment>
    <comment authorId="0" ref="M388">
      <text>
        <t xml:space="preserve">Capital final del calendario teórico. No equivale al saldo real si hay pagos parciales o atrasos.</t>
      </text>
    </comment>
    <comment authorId="0" ref="N388">
      <text>
        <t xml:space="preserve">Suma de pagos válidos del mismo ID y cuota con fecha igual o anterior al corte.</t>
      </text>
    </comment>
    <comment authorId="0" ref="O388">
      <text>
        <t xml:space="preserve">MIN(amortización pactada; MAX(0; pagado − cargos − interés)). No imputa excedentes a otras cuotas.</t>
      </text>
    </comment>
    <comment authorId="0" ref="P388">
      <text>
        <t xml:space="preserve">MAX(0; total pactado − pagado a esta cuota). Incluye capital, interés y cargos pendientes de ESA cuota.</t>
      </text>
    </comment>
    <comment authorId="0" ref="Q388">
      <text>
        <t xml:space="preserve">Días desde vencimiento hasta corte, solo si venció antes del corte y sigue con saldo.</t>
      </text>
    </comment>
    <comment authorId="0" ref="R388">
      <text>
        <t xml:space="preserve">MAX(0; pagado − cuota pactada). Exceso para revisar: no se traspasa a otra cuota.</t>
      </text>
    </comment>
    <comment authorId="0" ref="S388">
      <text>
        <t xml:space="preserve">Pagada, Vencida, Vence hoy, Por vencer o Exceso sin imputar según fecha y saldo al corte.</t>
      </text>
    </comment>
    <comment authorId="0" ref="T388">
      <text>
        <t xml:space="preserve">Auxiliar para encontrar la primera cuota pendiente. El 999999 indica que esta cuota no tiene saldo pendiente o está fuera del plazo, y no es una fecha real.</t>
      </text>
    </comment>
    <comment authorId="0" ref="C389">
      <text>
        <t xml:space="preserve">Crédito al que corresponde esta cuota.</t>
      </text>
    </comment>
    <comment authorId="0" ref="D389">
      <text>
        <t xml:space="preserve">Número de cuota dentro del crédito.</t>
      </text>
    </comment>
    <comment authorId="0" ref="E389">
      <text>
        <t xml:space="preserve">Fecha según EDATE a partir del primer vencimiento. No ajusta automáticamente feriados.</t>
      </text>
    </comment>
    <comment authorId="0" ref="F389">
      <text>
        <t xml:space="preserve">Capital al inicio del período en el calendario ORIGINAL, sin recalcular por pagos reales.</t>
      </text>
    </comment>
    <comment authorId="0" ref="G389">
      <text>
        <t xml:space="preserve">Tasa efectiva del mes según la base ingresada.</t>
      </text>
    </comment>
    <comment authorId="0" ref="H389">
      <text>
        <t xml:space="preserve">Interés del período = capital inicial × tasa mensual, redondeado a dos decimales.</t>
      </text>
    </comment>
    <comment authorId="0" ref="I389">
      <text>
        <t xml:space="preserve">Capital e interés pactados. La última cuota ajusta el saldo por redondeo.</t>
      </text>
    </comment>
    <comment authorId="0" ref="J389">
      <text>
        <t xml:space="preserve">Capital amortizado TEÓRICO = cuota base − interés, limitado al saldo.</t>
      </text>
    </comment>
    <comment authorId="0" ref="K389">
      <text>
        <t xml:space="preserve">Seguro y otros cargos fijos del mes.</t>
      </text>
    </comment>
    <comment authorId="0" ref="L389">
      <text>
        <t xml:space="preserve">Cuota base + cargos.</t>
      </text>
    </comment>
    <comment authorId="0" ref="M389">
      <text>
        <t xml:space="preserve">Capital final del calendario teórico. No equivale al saldo real si hay pagos parciales o atrasos.</t>
      </text>
    </comment>
    <comment authorId="0" ref="N389">
      <text>
        <t xml:space="preserve">Suma de pagos válidos del mismo ID y cuota con fecha igual o anterior al corte.</t>
      </text>
    </comment>
    <comment authorId="0" ref="O389">
      <text>
        <t xml:space="preserve">MIN(amortización pactada; MAX(0; pagado − cargos − interés)). No imputa excedentes a otras cuotas.</t>
      </text>
    </comment>
    <comment authorId="0" ref="P389">
      <text>
        <t xml:space="preserve">MAX(0; total pactado − pagado a esta cuota). Incluye capital, interés y cargos pendientes de ESA cuota.</t>
      </text>
    </comment>
    <comment authorId="0" ref="Q389">
      <text>
        <t xml:space="preserve">Días desde vencimiento hasta corte, solo si venció antes del corte y sigue con saldo.</t>
      </text>
    </comment>
    <comment authorId="0" ref="R389">
      <text>
        <t xml:space="preserve">MAX(0; pagado − cuota pactada). Exceso para revisar: no se traspasa a otra cuota.</t>
      </text>
    </comment>
    <comment authorId="0" ref="S389">
      <text>
        <t xml:space="preserve">Pagada, Vencida, Vence hoy, Por vencer o Exceso sin imputar según fecha y saldo al corte.</t>
      </text>
    </comment>
    <comment authorId="0" ref="T389">
      <text>
        <t xml:space="preserve">Auxiliar para encontrar la primera cuota pendiente. El 999999 indica que esta cuota no tiene saldo pendiente o está fuera del plazo, y no es una fecha real.</t>
      </text>
    </comment>
    <comment authorId="0" ref="C390">
      <text>
        <t xml:space="preserve">Crédito al que corresponde esta cuota.</t>
      </text>
    </comment>
    <comment authorId="0" ref="D390">
      <text>
        <t xml:space="preserve">Número de cuota dentro del crédito.</t>
      </text>
    </comment>
    <comment authorId="0" ref="E390">
      <text>
        <t xml:space="preserve">Fecha según EDATE a partir del primer vencimiento. No ajusta automáticamente feriados.</t>
      </text>
    </comment>
    <comment authorId="0" ref="F390">
      <text>
        <t xml:space="preserve">Capital al inicio del período en el calendario ORIGINAL, sin recalcular por pagos reales.</t>
      </text>
    </comment>
    <comment authorId="0" ref="G390">
      <text>
        <t xml:space="preserve">Tasa efectiva del mes según la base ingresada.</t>
      </text>
    </comment>
    <comment authorId="0" ref="H390">
      <text>
        <t xml:space="preserve">Interés del período = capital inicial × tasa mensual, redondeado a dos decimales.</t>
      </text>
    </comment>
    <comment authorId="0" ref="I390">
      <text>
        <t xml:space="preserve">Capital e interés pactados. La última cuota ajusta el saldo por redondeo.</t>
      </text>
    </comment>
    <comment authorId="0" ref="J390">
      <text>
        <t xml:space="preserve">Capital amortizado TEÓRICO = cuota base − interés, limitado al saldo.</t>
      </text>
    </comment>
    <comment authorId="0" ref="K390">
      <text>
        <t xml:space="preserve">Seguro y otros cargos fijos del mes.</t>
      </text>
    </comment>
    <comment authorId="0" ref="L390">
      <text>
        <t xml:space="preserve">Cuota base + cargos.</t>
      </text>
    </comment>
    <comment authorId="0" ref="M390">
      <text>
        <t xml:space="preserve">Capital final del calendario teórico. No equivale al saldo real si hay pagos parciales o atrasos.</t>
      </text>
    </comment>
    <comment authorId="0" ref="N390">
      <text>
        <t xml:space="preserve">Suma de pagos válidos del mismo ID y cuota con fecha igual o anterior al corte.</t>
      </text>
    </comment>
    <comment authorId="0" ref="O390">
      <text>
        <t xml:space="preserve">MIN(amortización pactada; MAX(0; pagado − cargos − interés)). No imputa excedentes a otras cuotas.</t>
      </text>
    </comment>
    <comment authorId="0" ref="P390">
      <text>
        <t xml:space="preserve">MAX(0; total pactado − pagado a esta cuota). Incluye capital, interés y cargos pendientes de ESA cuota.</t>
      </text>
    </comment>
    <comment authorId="0" ref="Q390">
      <text>
        <t xml:space="preserve">Días desde vencimiento hasta corte, solo si venció antes del corte y sigue con saldo.</t>
      </text>
    </comment>
    <comment authorId="0" ref="R390">
      <text>
        <t xml:space="preserve">MAX(0; pagado − cuota pactada). Exceso para revisar: no se traspasa a otra cuota.</t>
      </text>
    </comment>
    <comment authorId="0" ref="S390">
      <text>
        <t xml:space="preserve">Pagada, Vencida, Vence hoy, Por vencer o Exceso sin imputar según fecha y saldo al corte.</t>
      </text>
    </comment>
    <comment authorId="0" ref="T390">
      <text>
        <t xml:space="preserve">Auxiliar para encontrar la primera cuota pendiente. El 999999 indica que esta cuota no tiene saldo pendiente o está fuera del plazo, y no es una fecha real.</t>
      </text>
    </comment>
    <comment authorId="0" ref="C391">
      <text>
        <t xml:space="preserve">Crédito al que corresponde esta cuota.</t>
      </text>
    </comment>
    <comment authorId="0" ref="D391">
      <text>
        <t xml:space="preserve">Número de cuota dentro del crédito.</t>
      </text>
    </comment>
    <comment authorId="0" ref="E391">
      <text>
        <t xml:space="preserve">Fecha según EDATE a partir del primer vencimiento. No ajusta automáticamente feriados.</t>
      </text>
    </comment>
    <comment authorId="0" ref="F391">
      <text>
        <t xml:space="preserve">Capital al inicio del período en el calendario ORIGINAL, sin recalcular por pagos reales.</t>
      </text>
    </comment>
    <comment authorId="0" ref="G391">
      <text>
        <t xml:space="preserve">Tasa efectiva del mes según la base ingresada.</t>
      </text>
    </comment>
    <comment authorId="0" ref="H391">
      <text>
        <t xml:space="preserve">Interés del período = capital inicial × tasa mensual, redondeado a dos decimales.</t>
      </text>
    </comment>
    <comment authorId="0" ref="I391">
      <text>
        <t xml:space="preserve">Capital e interés pactados. La última cuota ajusta el saldo por redondeo.</t>
      </text>
    </comment>
    <comment authorId="0" ref="J391">
      <text>
        <t xml:space="preserve">Capital amortizado TEÓRICO = cuota base − interés, limitado al saldo.</t>
      </text>
    </comment>
    <comment authorId="0" ref="K391">
      <text>
        <t xml:space="preserve">Seguro y otros cargos fijos del mes.</t>
      </text>
    </comment>
    <comment authorId="0" ref="L391">
      <text>
        <t xml:space="preserve">Cuota base + cargos.</t>
      </text>
    </comment>
    <comment authorId="0" ref="M391">
      <text>
        <t xml:space="preserve">Capital final del calendario teórico. No equivale al saldo real si hay pagos parciales o atrasos.</t>
      </text>
    </comment>
    <comment authorId="0" ref="N391">
      <text>
        <t xml:space="preserve">Suma de pagos válidos del mismo ID y cuota con fecha igual o anterior al corte.</t>
      </text>
    </comment>
    <comment authorId="0" ref="O391">
      <text>
        <t xml:space="preserve">MIN(amortización pactada; MAX(0; pagado − cargos − interés)). No imputa excedentes a otras cuotas.</t>
      </text>
    </comment>
    <comment authorId="0" ref="P391">
      <text>
        <t xml:space="preserve">MAX(0; total pactado − pagado a esta cuota). Incluye capital, interés y cargos pendientes de ESA cuota.</t>
      </text>
    </comment>
    <comment authorId="0" ref="Q391">
      <text>
        <t xml:space="preserve">Días desde vencimiento hasta corte, solo si venció antes del corte y sigue con saldo.</t>
      </text>
    </comment>
    <comment authorId="0" ref="R391">
      <text>
        <t xml:space="preserve">MAX(0; pagado − cuota pactada). Exceso para revisar: no se traspasa a otra cuota.</t>
      </text>
    </comment>
    <comment authorId="0" ref="S391">
      <text>
        <t xml:space="preserve">Pagada, Vencida, Vence hoy, Por vencer o Exceso sin imputar según fecha y saldo al corte.</t>
      </text>
    </comment>
    <comment authorId="0" ref="T391">
      <text>
        <t xml:space="preserve">Auxiliar para encontrar la primera cuota pendiente. El 999999 indica que esta cuota no tiene saldo pendiente o está fuera del plazo, y no es una fecha real.</t>
      </text>
    </comment>
    <comment authorId="0" ref="C392">
      <text>
        <t xml:space="preserve">Crédito al que corresponde esta cuota.</t>
      </text>
    </comment>
    <comment authorId="0" ref="D392">
      <text>
        <t xml:space="preserve">Número de cuota dentro del crédito.</t>
      </text>
    </comment>
    <comment authorId="0" ref="E392">
      <text>
        <t xml:space="preserve">Fecha según EDATE a partir del primer vencimiento. No ajusta automáticamente feriados.</t>
      </text>
    </comment>
    <comment authorId="0" ref="F392">
      <text>
        <t xml:space="preserve">Capital al inicio del período en el calendario ORIGINAL, sin recalcular por pagos reales.</t>
      </text>
    </comment>
    <comment authorId="0" ref="G392">
      <text>
        <t xml:space="preserve">Tasa efectiva del mes según la base ingresada.</t>
      </text>
    </comment>
    <comment authorId="0" ref="H392">
      <text>
        <t xml:space="preserve">Interés del período = capital inicial × tasa mensual, redondeado a dos decimales.</t>
      </text>
    </comment>
    <comment authorId="0" ref="I392">
      <text>
        <t xml:space="preserve">Capital e interés pactados. La última cuota ajusta el saldo por redondeo.</t>
      </text>
    </comment>
    <comment authorId="0" ref="J392">
      <text>
        <t xml:space="preserve">Capital amortizado TEÓRICO = cuota base − interés, limitado al saldo.</t>
      </text>
    </comment>
    <comment authorId="0" ref="K392">
      <text>
        <t xml:space="preserve">Seguro y otros cargos fijos del mes.</t>
      </text>
    </comment>
    <comment authorId="0" ref="L392">
      <text>
        <t xml:space="preserve">Cuota base + cargos.</t>
      </text>
    </comment>
    <comment authorId="0" ref="M392">
      <text>
        <t xml:space="preserve">Capital final del calendario teórico. No equivale al saldo real si hay pagos parciales o atrasos.</t>
      </text>
    </comment>
    <comment authorId="0" ref="N392">
      <text>
        <t xml:space="preserve">Suma de pagos válidos del mismo ID y cuota con fecha igual o anterior al corte.</t>
      </text>
    </comment>
    <comment authorId="0" ref="O392">
      <text>
        <t xml:space="preserve">MIN(amortización pactada; MAX(0; pagado − cargos − interés)). No imputa excedentes a otras cuotas.</t>
      </text>
    </comment>
    <comment authorId="0" ref="P392">
      <text>
        <t xml:space="preserve">MAX(0; total pactado − pagado a esta cuota). Incluye capital, interés y cargos pendientes de ESA cuota.</t>
      </text>
    </comment>
    <comment authorId="0" ref="Q392">
      <text>
        <t xml:space="preserve">Días desde vencimiento hasta corte, solo si venció antes del corte y sigue con saldo.</t>
      </text>
    </comment>
    <comment authorId="0" ref="R392">
      <text>
        <t xml:space="preserve">MAX(0; pagado − cuota pactada). Exceso para revisar: no se traspasa a otra cuota.</t>
      </text>
    </comment>
    <comment authorId="0" ref="S392">
      <text>
        <t xml:space="preserve">Pagada, Vencida, Vence hoy, Por vencer o Exceso sin imputar según fecha y saldo al corte.</t>
      </text>
    </comment>
    <comment authorId="0" ref="T392">
      <text>
        <t xml:space="preserve">Auxiliar para encontrar la primera cuota pendiente. El 999999 indica que esta cuota no tiene saldo pendiente o está fuera del plazo, y no es una fecha real.</t>
      </text>
    </comment>
    <comment authorId="0" ref="C393">
      <text>
        <t xml:space="preserve">Crédito al que corresponde esta cuota.</t>
      </text>
    </comment>
    <comment authorId="0" ref="D393">
      <text>
        <t xml:space="preserve">Número de cuota dentro del crédito.</t>
      </text>
    </comment>
    <comment authorId="0" ref="E393">
      <text>
        <t xml:space="preserve">Fecha según EDATE a partir del primer vencimiento. No ajusta automáticamente feriados.</t>
      </text>
    </comment>
    <comment authorId="0" ref="F393">
      <text>
        <t xml:space="preserve">Capital al inicio del período en el calendario ORIGINAL, sin recalcular por pagos reales.</t>
      </text>
    </comment>
    <comment authorId="0" ref="G393">
      <text>
        <t xml:space="preserve">Tasa efectiva del mes según la base ingresada.</t>
      </text>
    </comment>
    <comment authorId="0" ref="H393">
      <text>
        <t xml:space="preserve">Interés del período = capital inicial × tasa mensual, redondeado a dos decimales.</t>
      </text>
    </comment>
    <comment authorId="0" ref="I393">
      <text>
        <t xml:space="preserve">Capital e interés pactados. La última cuota ajusta el saldo por redondeo.</t>
      </text>
    </comment>
    <comment authorId="0" ref="J393">
      <text>
        <t xml:space="preserve">Capital amortizado TEÓRICO = cuota base − interés, limitado al saldo.</t>
      </text>
    </comment>
    <comment authorId="0" ref="K393">
      <text>
        <t xml:space="preserve">Seguro y otros cargos fijos del mes.</t>
      </text>
    </comment>
    <comment authorId="0" ref="L393">
      <text>
        <t xml:space="preserve">Cuota base + cargos.</t>
      </text>
    </comment>
    <comment authorId="0" ref="M393">
      <text>
        <t xml:space="preserve">Capital final del calendario teórico. No equivale al saldo real si hay pagos parciales o atrasos.</t>
      </text>
    </comment>
    <comment authorId="0" ref="N393">
      <text>
        <t xml:space="preserve">Suma de pagos válidos del mismo ID y cuota con fecha igual o anterior al corte.</t>
      </text>
    </comment>
    <comment authorId="0" ref="O393">
      <text>
        <t xml:space="preserve">MIN(amortización pactada; MAX(0; pagado − cargos − interés)). No imputa excedentes a otras cuotas.</t>
      </text>
    </comment>
    <comment authorId="0" ref="P393">
      <text>
        <t xml:space="preserve">MAX(0; total pactado − pagado a esta cuota). Incluye capital, interés y cargos pendientes de ESA cuota.</t>
      </text>
    </comment>
    <comment authorId="0" ref="Q393">
      <text>
        <t xml:space="preserve">Días desde vencimiento hasta corte, solo si venció antes del corte y sigue con saldo.</t>
      </text>
    </comment>
    <comment authorId="0" ref="R393">
      <text>
        <t xml:space="preserve">MAX(0; pagado − cuota pactada). Exceso para revisar: no se traspasa a otra cuota.</t>
      </text>
    </comment>
    <comment authorId="0" ref="S393">
      <text>
        <t xml:space="preserve">Pagada, Vencida, Vence hoy, Por vencer o Exceso sin imputar según fecha y saldo al corte.</t>
      </text>
    </comment>
    <comment authorId="0" ref="T393">
      <text>
        <t xml:space="preserve">Auxiliar para encontrar la primera cuota pendiente. El 999999 indica que esta cuota no tiene saldo pendiente o está fuera del plazo, y no es una fecha real.</t>
      </text>
    </comment>
    <comment authorId="0" ref="C394">
      <text>
        <t xml:space="preserve">Crédito al que corresponde esta cuota.</t>
      </text>
    </comment>
    <comment authorId="0" ref="D394">
      <text>
        <t xml:space="preserve">Número de cuota dentro del crédito.</t>
      </text>
    </comment>
    <comment authorId="0" ref="E394">
      <text>
        <t xml:space="preserve">Fecha según EDATE a partir del primer vencimiento. No ajusta automáticamente feriados.</t>
      </text>
    </comment>
    <comment authorId="0" ref="F394">
      <text>
        <t xml:space="preserve">Capital al inicio del período en el calendario ORIGINAL, sin recalcular por pagos reales.</t>
      </text>
    </comment>
    <comment authorId="0" ref="G394">
      <text>
        <t xml:space="preserve">Tasa efectiva del mes según la base ingresada.</t>
      </text>
    </comment>
    <comment authorId="0" ref="H394">
      <text>
        <t xml:space="preserve">Interés del período = capital inicial × tasa mensual, redondeado a dos decimales.</t>
      </text>
    </comment>
    <comment authorId="0" ref="I394">
      <text>
        <t xml:space="preserve">Capital e interés pactados. La última cuota ajusta el saldo por redondeo.</t>
      </text>
    </comment>
    <comment authorId="0" ref="J394">
      <text>
        <t xml:space="preserve">Capital amortizado TEÓRICO = cuota base − interés, limitado al saldo.</t>
      </text>
    </comment>
    <comment authorId="0" ref="K394">
      <text>
        <t xml:space="preserve">Seguro y otros cargos fijos del mes.</t>
      </text>
    </comment>
    <comment authorId="0" ref="L394">
      <text>
        <t xml:space="preserve">Cuota base + cargos.</t>
      </text>
    </comment>
    <comment authorId="0" ref="M394">
      <text>
        <t xml:space="preserve">Capital final del calendario teórico. No equivale al saldo real si hay pagos parciales o atrasos.</t>
      </text>
    </comment>
    <comment authorId="0" ref="N394">
      <text>
        <t xml:space="preserve">Suma de pagos válidos del mismo ID y cuota con fecha igual o anterior al corte.</t>
      </text>
    </comment>
    <comment authorId="0" ref="O394">
      <text>
        <t xml:space="preserve">MIN(amortización pactada; MAX(0; pagado − cargos − interés)). No imputa excedentes a otras cuotas.</t>
      </text>
    </comment>
    <comment authorId="0" ref="P394">
      <text>
        <t xml:space="preserve">MAX(0; total pactado − pagado a esta cuota). Incluye capital, interés y cargos pendientes de ESA cuota.</t>
      </text>
    </comment>
    <comment authorId="0" ref="Q394">
      <text>
        <t xml:space="preserve">Días desde vencimiento hasta corte, solo si venció antes del corte y sigue con saldo.</t>
      </text>
    </comment>
    <comment authorId="0" ref="R394">
      <text>
        <t xml:space="preserve">MAX(0; pagado − cuota pactada). Exceso para revisar: no se traspasa a otra cuota.</t>
      </text>
    </comment>
    <comment authorId="0" ref="S394">
      <text>
        <t xml:space="preserve">Pagada, Vencida, Vence hoy, Por vencer o Exceso sin imputar según fecha y saldo al corte.</t>
      </text>
    </comment>
    <comment authorId="0" ref="T394">
      <text>
        <t xml:space="preserve">Auxiliar para encontrar la primera cuota pendiente. El 999999 indica que esta cuota no tiene saldo pendiente o está fuera del plazo, y no es una fecha real.</t>
      </text>
    </comment>
    <comment authorId="0" ref="C395">
      <text>
        <t xml:space="preserve">Crédito al que corresponde esta cuota.</t>
      </text>
    </comment>
    <comment authorId="0" ref="D395">
      <text>
        <t xml:space="preserve">Número de cuota dentro del crédito.</t>
      </text>
    </comment>
    <comment authorId="0" ref="E395">
      <text>
        <t xml:space="preserve">Fecha según EDATE a partir del primer vencimiento. No ajusta automáticamente feriados.</t>
      </text>
    </comment>
    <comment authorId="0" ref="F395">
      <text>
        <t xml:space="preserve">Capital al inicio del período en el calendario ORIGINAL, sin recalcular por pagos reales.</t>
      </text>
    </comment>
    <comment authorId="0" ref="G395">
      <text>
        <t xml:space="preserve">Tasa efectiva del mes según la base ingresada.</t>
      </text>
    </comment>
    <comment authorId="0" ref="H395">
      <text>
        <t xml:space="preserve">Interés del período = capital inicial × tasa mensual, redondeado a dos decimales.</t>
      </text>
    </comment>
    <comment authorId="0" ref="I395">
      <text>
        <t xml:space="preserve">Capital e interés pactados. La última cuota ajusta el saldo por redondeo.</t>
      </text>
    </comment>
    <comment authorId="0" ref="J395">
      <text>
        <t xml:space="preserve">Capital amortizado TEÓRICO = cuota base − interés, limitado al saldo.</t>
      </text>
    </comment>
    <comment authorId="0" ref="K395">
      <text>
        <t xml:space="preserve">Seguro y otros cargos fijos del mes.</t>
      </text>
    </comment>
    <comment authorId="0" ref="L395">
      <text>
        <t xml:space="preserve">Cuota base + cargos.</t>
      </text>
    </comment>
    <comment authorId="0" ref="M395">
      <text>
        <t xml:space="preserve">Capital final del calendario teórico. No equivale al saldo real si hay pagos parciales o atrasos.</t>
      </text>
    </comment>
    <comment authorId="0" ref="N395">
      <text>
        <t xml:space="preserve">Suma de pagos válidos del mismo ID y cuota con fecha igual o anterior al corte.</t>
      </text>
    </comment>
    <comment authorId="0" ref="O395">
      <text>
        <t xml:space="preserve">MIN(amortización pactada; MAX(0; pagado − cargos − interés)). No imputa excedentes a otras cuotas.</t>
      </text>
    </comment>
    <comment authorId="0" ref="P395">
      <text>
        <t xml:space="preserve">MAX(0; total pactado − pagado a esta cuota). Incluye capital, interés y cargos pendientes de ESA cuota.</t>
      </text>
    </comment>
    <comment authorId="0" ref="Q395">
      <text>
        <t xml:space="preserve">Días desde vencimiento hasta corte, solo si venció antes del corte y sigue con saldo.</t>
      </text>
    </comment>
    <comment authorId="0" ref="R395">
      <text>
        <t xml:space="preserve">MAX(0; pagado − cuota pactada). Exceso para revisar: no se traspasa a otra cuota.</t>
      </text>
    </comment>
    <comment authorId="0" ref="S395">
      <text>
        <t xml:space="preserve">Pagada, Vencida, Vence hoy, Por vencer o Exceso sin imputar según fecha y saldo al corte.</t>
      </text>
    </comment>
    <comment authorId="0" ref="T395">
      <text>
        <t xml:space="preserve">Auxiliar para encontrar la primera cuota pendiente. El 999999 indica que esta cuota no tiene saldo pendiente o está fuera del plazo, y no es una fecha real.</t>
      </text>
    </comment>
    <comment authorId="0" ref="C396">
      <text>
        <t xml:space="preserve">Crédito al que corresponde esta cuota.</t>
      </text>
    </comment>
    <comment authorId="0" ref="D396">
      <text>
        <t xml:space="preserve">Número de cuota dentro del crédito.</t>
      </text>
    </comment>
    <comment authorId="0" ref="E396">
      <text>
        <t xml:space="preserve">Fecha según EDATE a partir del primer vencimiento. No ajusta automáticamente feriados.</t>
      </text>
    </comment>
    <comment authorId="0" ref="F396">
      <text>
        <t xml:space="preserve">Capital al inicio del período en el calendario ORIGINAL, sin recalcular por pagos reales.</t>
      </text>
    </comment>
    <comment authorId="0" ref="G396">
      <text>
        <t xml:space="preserve">Tasa efectiva del mes según la base ingresada.</t>
      </text>
    </comment>
    <comment authorId="0" ref="H396">
      <text>
        <t xml:space="preserve">Interés del período = capital inicial × tasa mensual, redondeado a dos decimales.</t>
      </text>
    </comment>
    <comment authorId="0" ref="I396">
      <text>
        <t xml:space="preserve">Capital e interés pactados. La última cuota ajusta el saldo por redondeo.</t>
      </text>
    </comment>
    <comment authorId="0" ref="J396">
      <text>
        <t xml:space="preserve">Capital amortizado TEÓRICO = cuota base − interés, limitado al saldo.</t>
      </text>
    </comment>
    <comment authorId="0" ref="K396">
      <text>
        <t xml:space="preserve">Seguro y otros cargos fijos del mes.</t>
      </text>
    </comment>
    <comment authorId="0" ref="L396">
      <text>
        <t xml:space="preserve">Cuota base + cargos.</t>
      </text>
    </comment>
    <comment authorId="0" ref="M396">
      <text>
        <t xml:space="preserve">Capital final del calendario teórico. No equivale al saldo real si hay pagos parciales o atrasos.</t>
      </text>
    </comment>
    <comment authorId="0" ref="N396">
      <text>
        <t xml:space="preserve">Suma de pagos válidos del mismo ID y cuota con fecha igual o anterior al corte.</t>
      </text>
    </comment>
    <comment authorId="0" ref="O396">
      <text>
        <t xml:space="preserve">MIN(amortización pactada; MAX(0; pagado − cargos − interés)). No imputa excedentes a otras cuotas.</t>
      </text>
    </comment>
    <comment authorId="0" ref="P396">
      <text>
        <t xml:space="preserve">MAX(0; total pactado − pagado a esta cuota). Incluye capital, interés y cargos pendientes de ESA cuota.</t>
      </text>
    </comment>
    <comment authorId="0" ref="Q396">
      <text>
        <t xml:space="preserve">Días desde vencimiento hasta corte, solo si venció antes del corte y sigue con saldo.</t>
      </text>
    </comment>
    <comment authorId="0" ref="R396">
      <text>
        <t xml:space="preserve">MAX(0; pagado − cuota pactada). Exceso para revisar: no se traspasa a otra cuota.</t>
      </text>
    </comment>
    <comment authorId="0" ref="S396">
      <text>
        <t xml:space="preserve">Pagada, Vencida, Vence hoy, Por vencer o Exceso sin imputar según fecha y saldo al corte.</t>
      </text>
    </comment>
    <comment authorId="0" ref="T396">
      <text>
        <t xml:space="preserve">Auxiliar para encontrar la primera cuota pendiente. El 999999 indica que esta cuota no tiene saldo pendiente o está fuera del plazo, y no es una fecha real.</t>
      </text>
    </comment>
    <comment authorId="0" ref="C397">
      <text>
        <t xml:space="preserve">Crédito al que corresponde esta cuota.</t>
      </text>
    </comment>
    <comment authorId="0" ref="D397">
      <text>
        <t xml:space="preserve">Número de cuota dentro del crédito.</t>
      </text>
    </comment>
    <comment authorId="0" ref="E397">
      <text>
        <t xml:space="preserve">Fecha según EDATE a partir del primer vencimiento. No ajusta automáticamente feriados.</t>
      </text>
    </comment>
    <comment authorId="0" ref="F397">
      <text>
        <t xml:space="preserve">Capital al inicio del período en el calendario ORIGINAL, sin recalcular por pagos reales.</t>
      </text>
    </comment>
    <comment authorId="0" ref="G397">
      <text>
        <t xml:space="preserve">Tasa efectiva del mes según la base ingresada.</t>
      </text>
    </comment>
    <comment authorId="0" ref="H397">
      <text>
        <t xml:space="preserve">Interés del período = capital inicial × tasa mensual, redondeado a dos decimales.</t>
      </text>
    </comment>
    <comment authorId="0" ref="I397">
      <text>
        <t xml:space="preserve">Capital e interés pactados. La última cuota ajusta el saldo por redondeo.</t>
      </text>
    </comment>
    <comment authorId="0" ref="J397">
      <text>
        <t xml:space="preserve">Capital amortizado TEÓRICO = cuota base − interés, limitado al saldo.</t>
      </text>
    </comment>
    <comment authorId="0" ref="K397">
      <text>
        <t xml:space="preserve">Seguro y otros cargos fijos del mes.</t>
      </text>
    </comment>
    <comment authorId="0" ref="L397">
      <text>
        <t xml:space="preserve">Cuota base + cargos.</t>
      </text>
    </comment>
    <comment authorId="0" ref="M397">
      <text>
        <t xml:space="preserve">Capital final del calendario teórico. No equivale al saldo real si hay pagos parciales o atrasos.</t>
      </text>
    </comment>
    <comment authorId="0" ref="N397">
      <text>
        <t xml:space="preserve">Suma de pagos válidos del mismo ID y cuota con fecha igual o anterior al corte.</t>
      </text>
    </comment>
    <comment authorId="0" ref="O397">
      <text>
        <t xml:space="preserve">MIN(amortización pactada; MAX(0; pagado − cargos − interés)). No imputa excedentes a otras cuotas.</t>
      </text>
    </comment>
    <comment authorId="0" ref="P397">
      <text>
        <t xml:space="preserve">MAX(0; total pactado − pagado a esta cuota). Incluye capital, interés y cargos pendientes de ESA cuota.</t>
      </text>
    </comment>
    <comment authorId="0" ref="Q397">
      <text>
        <t xml:space="preserve">Días desde vencimiento hasta corte, solo si venció antes del corte y sigue con saldo.</t>
      </text>
    </comment>
    <comment authorId="0" ref="R397">
      <text>
        <t xml:space="preserve">MAX(0; pagado − cuota pactada). Exceso para revisar: no se traspasa a otra cuota.</t>
      </text>
    </comment>
    <comment authorId="0" ref="S397">
      <text>
        <t xml:space="preserve">Pagada, Vencida, Vence hoy, Por vencer o Exceso sin imputar según fecha y saldo al corte.</t>
      </text>
    </comment>
    <comment authorId="0" ref="T397">
      <text>
        <t xml:space="preserve">Auxiliar para encontrar la primera cuota pendiente. El 999999 indica que esta cuota no tiene saldo pendiente o está fuera del plazo, y no es una fecha real.</t>
      </text>
    </comment>
    <comment authorId="0" ref="C398">
      <text>
        <t xml:space="preserve">Crédito al que corresponde esta cuota.</t>
      </text>
    </comment>
    <comment authorId="0" ref="D398">
      <text>
        <t xml:space="preserve">Número de cuota dentro del crédito.</t>
      </text>
    </comment>
    <comment authorId="0" ref="E398">
      <text>
        <t xml:space="preserve">Fecha según EDATE a partir del primer vencimiento. No ajusta automáticamente feriados.</t>
      </text>
    </comment>
    <comment authorId="0" ref="F398">
      <text>
        <t xml:space="preserve">Capital al inicio del período en el calendario ORIGINAL, sin recalcular por pagos reales.</t>
      </text>
    </comment>
    <comment authorId="0" ref="G398">
      <text>
        <t xml:space="preserve">Tasa efectiva del mes según la base ingresada.</t>
      </text>
    </comment>
    <comment authorId="0" ref="H398">
      <text>
        <t xml:space="preserve">Interés del período = capital inicial × tasa mensual, redondeado a dos decimales.</t>
      </text>
    </comment>
    <comment authorId="0" ref="I398">
      <text>
        <t xml:space="preserve">Capital e interés pactados. La última cuota ajusta el saldo por redondeo.</t>
      </text>
    </comment>
    <comment authorId="0" ref="J398">
      <text>
        <t xml:space="preserve">Capital amortizado TEÓRICO = cuota base − interés, limitado al saldo.</t>
      </text>
    </comment>
    <comment authorId="0" ref="K398">
      <text>
        <t xml:space="preserve">Seguro y otros cargos fijos del mes.</t>
      </text>
    </comment>
    <comment authorId="0" ref="L398">
      <text>
        <t xml:space="preserve">Cuota base + cargos.</t>
      </text>
    </comment>
    <comment authorId="0" ref="M398">
      <text>
        <t xml:space="preserve">Capital final del calendario teórico. No equivale al saldo real si hay pagos parciales o atrasos.</t>
      </text>
    </comment>
    <comment authorId="0" ref="N398">
      <text>
        <t xml:space="preserve">Suma de pagos válidos del mismo ID y cuota con fecha igual o anterior al corte.</t>
      </text>
    </comment>
    <comment authorId="0" ref="O398">
      <text>
        <t xml:space="preserve">MIN(amortización pactada; MAX(0; pagado − cargos − interés)). No imputa excedentes a otras cuotas.</t>
      </text>
    </comment>
    <comment authorId="0" ref="P398">
      <text>
        <t xml:space="preserve">MAX(0; total pactado − pagado a esta cuota). Incluye capital, interés y cargos pendientes de ESA cuota.</t>
      </text>
    </comment>
    <comment authorId="0" ref="Q398">
      <text>
        <t xml:space="preserve">Días desde vencimiento hasta corte, solo si venció antes del corte y sigue con saldo.</t>
      </text>
    </comment>
    <comment authorId="0" ref="R398">
      <text>
        <t xml:space="preserve">MAX(0; pagado − cuota pactada). Exceso para revisar: no se traspasa a otra cuota.</t>
      </text>
    </comment>
    <comment authorId="0" ref="S398">
      <text>
        <t xml:space="preserve">Pagada, Vencida, Vence hoy, Por vencer o Exceso sin imputar según fecha y saldo al corte.</t>
      </text>
    </comment>
    <comment authorId="0" ref="T398">
      <text>
        <t xml:space="preserve">Auxiliar para encontrar la primera cuota pendiente. El 999999 indica que esta cuota no tiene saldo pendiente o está fuera del plazo, y no es una fecha real.</t>
      </text>
    </comment>
    <comment authorId="0" ref="C399">
      <text>
        <t xml:space="preserve">Crédito al que corresponde esta cuota.</t>
      </text>
    </comment>
    <comment authorId="0" ref="D399">
      <text>
        <t xml:space="preserve">Número de cuota dentro del crédito.</t>
      </text>
    </comment>
    <comment authorId="0" ref="E399">
      <text>
        <t xml:space="preserve">Fecha según EDATE a partir del primer vencimiento. No ajusta automáticamente feriados.</t>
      </text>
    </comment>
    <comment authorId="0" ref="F399">
      <text>
        <t xml:space="preserve">Capital al inicio del período en el calendario ORIGINAL, sin recalcular por pagos reales.</t>
      </text>
    </comment>
    <comment authorId="0" ref="G399">
      <text>
        <t xml:space="preserve">Tasa efectiva del mes según la base ingresada.</t>
      </text>
    </comment>
    <comment authorId="0" ref="H399">
      <text>
        <t xml:space="preserve">Interés del período = capital inicial × tasa mensual, redondeado a dos decimales.</t>
      </text>
    </comment>
    <comment authorId="0" ref="I399">
      <text>
        <t xml:space="preserve">Capital e interés pactados. La última cuota ajusta el saldo por redondeo.</t>
      </text>
    </comment>
    <comment authorId="0" ref="J399">
      <text>
        <t xml:space="preserve">Capital amortizado TEÓRICO = cuota base − interés, limitado al saldo.</t>
      </text>
    </comment>
    <comment authorId="0" ref="K399">
      <text>
        <t xml:space="preserve">Seguro y otros cargos fijos del mes.</t>
      </text>
    </comment>
    <comment authorId="0" ref="L399">
      <text>
        <t xml:space="preserve">Cuota base + cargos.</t>
      </text>
    </comment>
    <comment authorId="0" ref="M399">
      <text>
        <t xml:space="preserve">Capital final del calendario teórico. No equivale al saldo real si hay pagos parciales o atrasos.</t>
      </text>
    </comment>
    <comment authorId="0" ref="N399">
      <text>
        <t xml:space="preserve">Suma de pagos válidos del mismo ID y cuota con fecha igual o anterior al corte.</t>
      </text>
    </comment>
    <comment authorId="0" ref="O399">
      <text>
        <t xml:space="preserve">MIN(amortización pactada; MAX(0; pagado − cargos − interés)). No imputa excedentes a otras cuotas.</t>
      </text>
    </comment>
    <comment authorId="0" ref="P399">
      <text>
        <t xml:space="preserve">MAX(0; total pactado − pagado a esta cuota). Incluye capital, interés y cargos pendientes de ESA cuota.</t>
      </text>
    </comment>
    <comment authorId="0" ref="Q399">
      <text>
        <t xml:space="preserve">Días desde vencimiento hasta corte, solo si venció antes del corte y sigue con saldo.</t>
      </text>
    </comment>
    <comment authorId="0" ref="R399">
      <text>
        <t xml:space="preserve">MAX(0; pagado − cuota pactada). Exceso para revisar: no se traspasa a otra cuota.</t>
      </text>
    </comment>
    <comment authorId="0" ref="S399">
      <text>
        <t xml:space="preserve">Pagada, Vencida, Vence hoy, Por vencer o Exceso sin imputar según fecha y saldo al corte.</t>
      </text>
    </comment>
    <comment authorId="0" ref="T399">
      <text>
        <t xml:space="preserve">Auxiliar para encontrar la primera cuota pendiente. El 999999 indica que esta cuota no tiene saldo pendiente o está fuera del plazo, y no es una fecha real.</t>
      </text>
    </comment>
    <comment authorId="0" ref="C400">
      <text>
        <t xml:space="preserve">Crédito al que corresponde esta cuota.</t>
      </text>
    </comment>
    <comment authorId="0" ref="D400">
      <text>
        <t xml:space="preserve">Número de cuota dentro del crédito.</t>
      </text>
    </comment>
    <comment authorId="0" ref="E400">
      <text>
        <t xml:space="preserve">Fecha según EDATE a partir del primer vencimiento. No ajusta automáticamente feriados.</t>
      </text>
    </comment>
    <comment authorId="0" ref="F400">
      <text>
        <t xml:space="preserve">Capital al inicio del período en el calendario ORIGINAL, sin recalcular por pagos reales.</t>
      </text>
    </comment>
    <comment authorId="0" ref="G400">
      <text>
        <t xml:space="preserve">Tasa efectiva del mes según la base ingresada.</t>
      </text>
    </comment>
    <comment authorId="0" ref="H400">
      <text>
        <t xml:space="preserve">Interés del período = capital inicial × tasa mensual, redondeado a dos decimales.</t>
      </text>
    </comment>
    <comment authorId="0" ref="I400">
      <text>
        <t xml:space="preserve">Capital e interés pactados. La última cuota ajusta el saldo por redondeo.</t>
      </text>
    </comment>
    <comment authorId="0" ref="J400">
      <text>
        <t xml:space="preserve">Capital amortizado TEÓRICO = cuota base − interés, limitado al saldo.</t>
      </text>
    </comment>
    <comment authorId="0" ref="K400">
      <text>
        <t xml:space="preserve">Seguro y otros cargos fijos del mes.</t>
      </text>
    </comment>
    <comment authorId="0" ref="L400">
      <text>
        <t xml:space="preserve">Cuota base + cargos.</t>
      </text>
    </comment>
    <comment authorId="0" ref="M400">
      <text>
        <t xml:space="preserve">Capital final del calendario teórico. No equivale al saldo real si hay pagos parciales o atrasos.</t>
      </text>
    </comment>
    <comment authorId="0" ref="N400">
      <text>
        <t xml:space="preserve">Suma de pagos válidos del mismo ID y cuota con fecha igual o anterior al corte.</t>
      </text>
    </comment>
    <comment authorId="0" ref="O400">
      <text>
        <t xml:space="preserve">MIN(amortización pactada; MAX(0; pagado − cargos − interés)). No imputa excedentes a otras cuotas.</t>
      </text>
    </comment>
    <comment authorId="0" ref="P400">
      <text>
        <t xml:space="preserve">MAX(0; total pactado − pagado a esta cuota). Incluye capital, interés y cargos pendientes de ESA cuota.</t>
      </text>
    </comment>
    <comment authorId="0" ref="Q400">
      <text>
        <t xml:space="preserve">Días desde vencimiento hasta corte, solo si venció antes del corte y sigue con saldo.</t>
      </text>
    </comment>
    <comment authorId="0" ref="R400">
      <text>
        <t xml:space="preserve">MAX(0; pagado − cuota pactada). Exceso para revisar: no se traspasa a otra cuota.</t>
      </text>
    </comment>
    <comment authorId="0" ref="S400">
      <text>
        <t xml:space="preserve">Pagada, Vencida, Vence hoy, Por vencer o Exceso sin imputar según fecha y saldo al corte.</t>
      </text>
    </comment>
    <comment authorId="0" ref="T400">
      <text>
        <t xml:space="preserve">Auxiliar para encontrar la primera cuota pendiente. El 999999 indica que esta cuota no tiene saldo pendiente o está fuera del plazo, y no es una fecha real.</t>
      </text>
    </comment>
    <comment authorId="0" ref="C401">
      <text>
        <t xml:space="preserve">Crédito al que corresponde esta cuota.</t>
      </text>
    </comment>
    <comment authorId="0" ref="D401">
      <text>
        <t xml:space="preserve">Número de cuota dentro del crédito.</t>
      </text>
    </comment>
    <comment authorId="0" ref="E401">
      <text>
        <t xml:space="preserve">Fecha según EDATE a partir del primer vencimiento. No ajusta automáticamente feriados.</t>
      </text>
    </comment>
    <comment authorId="0" ref="F401">
      <text>
        <t xml:space="preserve">Capital al inicio del período en el calendario ORIGINAL, sin recalcular por pagos reales.</t>
      </text>
    </comment>
    <comment authorId="0" ref="G401">
      <text>
        <t xml:space="preserve">Tasa efectiva del mes según la base ingresada.</t>
      </text>
    </comment>
    <comment authorId="0" ref="H401">
      <text>
        <t xml:space="preserve">Interés del período = capital inicial × tasa mensual, redondeado a dos decimales.</t>
      </text>
    </comment>
    <comment authorId="0" ref="I401">
      <text>
        <t xml:space="preserve">Capital e interés pactados. La última cuota ajusta el saldo por redondeo.</t>
      </text>
    </comment>
    <comment authorId="0" ref="J401">
      <text>
        <t xml:space="preserve">Capital amortizado TEÓRICO = cuota base − interés, limitado al saldo.</t>
      </text>
    </comment>
    <comment authorId="0" ref="K401">
      <text>
        <t xml:space="preserve">Seguro y otros cargos fijos del mes.</t>
      </text>
    </comment>
    <comment authorId="0" ref="L401">
      <text>
        <t xml:space="preserve">Cuota base + cargos.</t>
      </text>
    </comment>
    <comment authorId="0" ref="M401">
      <text>
        <t xml:space="preserve">Capital final del calendario teórico. No equivale al saldo real si hay pagos parciales o atrasos.</t>
      </text>
    </comment>
    <comment authorId="0" ref="N401">
      <text>
        <t xml:space="preserve">Suma de pagos válidos del mismo ID y cuota con fecha igual o anterior al corte.</t>
      </text>
    </comment>
    <comment authorId="0" ref="O401">
      <text>
        <t xml:space="preserve">MIN(amortización pactada; MAX(0; pagado − cargos − interés)). No imputa excedentes a otras cuotas.</t>
      </text>
    </comment>
    <comment authorId="0" ref="P401">
      <text>
        <t xml:space="preserve">MAX(0; total pactado − pagado a esta cuota). Incluye capital, interés y cargos pendientes de ESA cuota.</t>
      </text>
    </comment>
    <comment authorId="0" ref="Q401">
      <text>
        <t xml:space="preserve">Días desde vencimiento hasta corte, solo si venció antes del corte y sigue con saldo.</t>
      </text>
    </comment>
    <comment authorId="0" ref="R401">
      <text>
        <t xml:space="preserve">MAX(0; pagado − cuota pactada). Exceso para revisar: no se traspasa a otra cuota.</t>
      </text>
    </comment>
    <comment authorId="0" ref="S401">
      <text>
        <t xml:space="preserve">Pagada, Vencida, Vence hoy, Por vencer o Exceso sin imputar según fecha y saldo al corte.</t>
      </text>
    </comment>
    <comment authorId="0" ref="T401">
      <text>
        <t xml:space="preserve">Auxiliar para encontrar la primera cuota pendiente. El 999999 indica que esta cuota no tiene saldo pendiente o está fuera del plazo, y no es una fecha real.</t>
      </text>
    </comment>
    <comment authorId="0" ref="C402">
      <text>
        <t xml:space="preserve">Crédito al que corresponde esta cuota.</t>
      </text>
    </comment>
    <comment authorId="0" ref="D402">
      <text>
        <t xml:space="preserve">Número de cuota dentro del crédito.</t>
      </text>
    </comment>
    <comment authorId="0" ref="E402">
      <text>
        <t xml:space="preserve">Fecha según EDATE a partir del primer vencimiento. No ajusta automáticamente feriados.</t>
      </text>
    </comment>
    <comment authorId="0" ref="F402">
      <text>
        <t xml:space="preserve">Capital al inicio del período en el calendario ORIGINAL, sin recalcular por pagos reales.</t>
      </text>
    </comment>
    <comment authorId="0" ref="G402">
      <text>
        <t xml:space="preserve">Tasa efectiva del mes según la base ingresada.</t>
      </text>
    </comment>
    <comment authorId="0" ref="H402">
      <text>
        <t xml:space="preserve">Interés del período = capital inicial × tasa mensual, redondeado a dos decimales.</t>
      </text>
    </comment>
    <comment authorId="0" ref="I402">
      <text>
        <t xml:space="preserve">Capital e interés pactados. La última cuota ajusta el saldo por redondeo.</t>
      </text>
    </comment>
    <comment authorId="0" ref="J402">
      <text>
        <t xml:space="preserve">Capital amortizado TEÓRICO = cuota base − interés, limitado al saldo.</t>
      </text>
    </comment>
    <comment authorId="0" ref="K402">
      <text>
        <t xml:space="preserve">Seguro y otros cargos fijos del mes.</t>
      </text>
    </comment>
    <comment authorId="0" ref="L402">
      <text>
        <t xml:space="preserve">Cuota base + cargos.</t>
      </text>
    </comment>
    <comment authorId="0" ref="M402">
      <text>
        <t xml:space="preserve">Capital final del calendario teórico. No equivale al saldo real si hay pagos parciales o atrasos.</t>
      </text>
    </comment>
    <comment authorId="0" ref="N402">
      <text>
        <t xml:space="preserve">Suma de pagos válidos del mismo ID y cuota con fecha igual o anterior al corte.</t>
      </text>
    </comment>
    <comment authorId="0" ref="O402">
      <text>
        <t xml:space="preserve">MIN(amortización pactada; MAX(0; pagado − cargos − interés)). No imputa excedentes a otras cuotas.</t>
      </text>
    </comment>
    <comment authorId="0" ref="P402">
      <text>
        <t xml:space="preserve">MAX(0; total pactado − pagado a esta cuota). Incluye capital, interés y cargos pendientes de ESA cuota.</t>
      </text>
    </comment>
    <comment authorId="0" ref="Q402">
      <text>
        <t xml:space="preserve">Días desde vencimiento hasta corte, solo si venció antes del corte y sigue con saldo.</t>
      </text>
    </comment>
    <comment authorId="0" ref="R402">
      <text>
        <t xml:space="preserve">MAX(0; pagado − cuota pactada). Exceso para revisar: no se traspasa a otra cuota.</t>
      </text>
    </comment>
    <comment authorId="0" ref="S402">
      <text>
        <t xml:space="preserve">Pagada, Vencida, Vence hoy, Por vencer o Exceso sin imputar según fecha y saldo al corte.</t>
      </text>
    </comment>
    <comment authorId="0" ref="T402">
      <text>
        <t xml:space="preserve">Auxiliar para encontrar la primera cuota pendiente. El 999999 indica que esta cuota no tiene saldo pendiente o está fuera del plazo, y no es una fecha real.</t>
      </text>
    </comment>
    <comment authorId="0" ref="C403">
      <text>
        <t xml:space="preserve">Crédito al que corresponde esta cuota.</t>
      </text>
    </comment>
    <comment authorId="0" ref="D403">
      <text>
        <t xml:space="preserve">Número de cuota dentro del crédito.</t>
      </text>
    </comment>
    <comment authorId="0" ref="E403">
      <text>
        <t xml:space="preserve">Fecha según EDATE a partir del primer vencimiento. No ajusta automáticamente feriados.</t>
      </text>
    </comment>
    <comment authorId="0" ref="F403">
      <text>
        <t xml:space="preserve">Capital al inicio del período en el calendario ORIGINAL, sin recalcular por pagos reales.</t>
      </text>
    </comment>
    <comment authorId="0" ref="G403">
      <text>
        <t xml:space="preserve">Tasa efectiva del mes según la base ingresada.</t>
      </text>
    </comment>
    <comment authorId="0" ref="H403">
      <text>
        <t xml:space="preserve">Interés del período = capital inicial × tasa mensual, redondeado a dos decimales.</t>
      </text>
    </comment>
    <comment authorId="0" ref="I403">
      <text>
        <t xml:space="preserve">Capital e interés pactados. La última cuota ajusta el saldo por redondeo.</t>
      </text>
    </comment>
    <comment authorId="0" ref="J403">
      <text>
        <t xml:space="preserve">Capital amortizado TEÓRICO = cuota base − interés, limitado al saldo.</t>
      </text>
    </comment>
    <comment authorId="0" ref="K403">
      <text>
        <t xml:space="preserve">Seguro y otros cargos fijos del mes.</t>
      </text>
    </comment>
    <comment authorId="0" ref="L403">
      <text>
        <t xml:space="preserve">Cuota base + cargos.</t>
      </text>
    </comment>
    <comment authorId="0" ref="M403">
      <text>
        <t xml:space="preserve">Capital final del calendario teórico. No equivale al saldo real si hay pagos parciales o atrasos.</t>
      </text>
    </comment>
    <comment authorId="0" ref="N403">
      <text>
        <t xml:space="preserve">Suma de pagos válidos del mismo ID y cuota con fecha igual o anterior al corte.</t>
      </text>
    </comment>
    <comment authorId="0" ref="O403">
      <text>
        <t xml:space="preserve">MIN(amortización pactada; MAX(0; pagado − cargos − interés)). No imputa excedentes a otras cuotas.</t>
      </text>
    </comment>
    <comment authorId="0" ref="P403">
      <text>
        <t xml:space="preserve">MAX(0; total pactado − pagado a esta cuota). Incluye capital, interés y cargos pendientes de ESA cuota.</t>
      </text>
    </comment>
    <comment authorId="0" ref="Q403">
      <text>
        <t xml:space="preserve">Días desde vencimiento hasta corte, solo si venció antes del corte y sigue con saldo.</t>
      </text>
    </comment>
    <comment authorId="0" ref="R403">
      <text>
        <t xml:space="preserve">MAX(0; pagado − cuota pactada). Exceso para revisar: no se traspasa a otra cuota.</t>
      </text>
    </comment>
    <comment authorId="0" ref="S403">
      <text>
        <t xml:space="preserve">Pagada, Vencida, Vence hoy, Por vencer o Exceso sin imputar según fecha y saldo al corte.</t>
      </text>
    </comment>
    <comment authorId="0" ref="T403">
      <text>
        <t xml:space="preserve">Auxiliar para encontrar la primera cuota pendiente. El 999999 indica que esta cuota no tiene saldo pendiente o está fuera del plazo, y no es una fecha real.</t>
      </text>
    </comment>
    <comment authorId="0" ref="C404">
      <text>
        <t xml:space="preserve">Crédito al que corresponde esta cuota.</t>
      </text>
    </comment>
    <comment authorId="0" ref="D404">
      <text>
        <t xml:space="preserve">Número de cuota dentro del crédito.</t>
      </text>
    </comment>
    <comment authorId="0" ref="E404">
      <text>
        <t xml:space="preserve">Fecha según EDATE a partir del primer vencimiento. No ajusta automáticamente feriados.</t>
      </text>
    </comment>
    <comment authorId="0" ref="F404">
      <text>
        <t xml:space="preserve">Capital al inicio del período en el calendario ORIGINAL, sin recalcular por pagos reales.</t>
      </text>
    </comment>
    <comment authorId="0" ref="G404">
      <text>
        <t xml:space="preserve">Tasa efectiva del mes según la base ingresada.</t>
      </text>
    </comment>
    <comment authorId="0" ref="H404">
      <text>
        <t xml:space="preserve">Interés del período = capital inicial × tasa mensual, redondeado a dos decimales.</t>
      </text>
    </comment>
    <comment authorId="0" ref="I404">
      <text>
        <t xml:space="preserve">Capital e interés pactados. La última cuota ajusta el saldo por redondeo.</t>
      </text>
    </comment>
    <comment authorId="0" ref="J404">
      <text>
        <t xml:space="preserve">Capital amortizado TEÓRICO = cuota base − interés, limitado al saldo.</t>
      </text>
    </comment>
    <comment authorId="0" ref="K404">
      <text>
        <t xml:space="preserve">Seguro y otros cargos fijos del mes.</t>
      </text>
    </comment>
    <comment authorId="0" ref="L404">
      <text>
        <t xml:space="preserve">Cuota base + cargos.</t>
      </text>
    </comment>
    <comment authorId="0" ref="M404">
      <text>
        <t xml:space="preserve">Capital final del calendario teórico. No equivale al saldo real si hay pagos parciales o atrasos.</t>
      </text>
    </comment>
    <comment authorId="0" ref="N404">
      <text>
        <t xml:space="preserve">Suma de pagos válidos del mismo ID y cuota con fecha igual o anterior al corte.</t>
      </text>
    </comment>
    <comment authorId="0" ref="O404">
      <text>
        <t xml:space="preserve">MIN(amortización pactada; MAX(0; pagado − cargos − interés)). No imputa excedentes a otras cuotas.</t>
      </text>
    </comment>
    <comment authorId="0" ref="P404">
      <text>
        <t xml:space="preserve">MAX(0; total pactado − pagado a esta cuota). Incluye capital, interés y cargos pendientes de ESA cuota.</t>
      </text>
    </comment>
    <comment authorId="0" ref="Q404">
      <text>
        <t xml:space="preserve">Días desde vencimiento hasta corte, solo si venció antes del corte y sigue con saldo.</t>
      </text>
    </comment>
    <comment authorId="0" ref="R404">
      <text>
        <t xml:space="preserve">MAX(0; pagado − cuota pactada). Exceso para revisar: no se traspasa a otra cuota.</t>
      </text>
    </comment>
    <comment authorId="0" ref="S404">
      <text>
        <t xml:space="preserve">Pagada, Vencida, Vence hoy, Por vencer o Exceso sin imputar según fecha y saldo al corte.</t>
      </text>
    </comment>
    <comment authorId="0" ref="T404">
      <text>
        <t xml:space="preserve">Auxiliar para encontrar la primera cuota pendiente. El 999999 indica que esta cuota no tiene saldo pendiente o está fuera del plazo, y no es una fecha real.</t>
      </text>
    </comment>
    <comment authorId="0" ref="C405">
      <text>
        <t xml:space="preserve">Crédito al que corresponde esta cuota.</t>
      </text>
    </comment>
    <comment authorId="0" ref="D405">
      <text>
        <t xml:space="preserve">Número de cuota dentro del crédito.</t>
      </text>
    </comment>
    <comment authorId="0" ref="E405">
      <text>
        <t xml:space="preserve">Fecha según EDATE a partir del primer vencimiento. No ajusta automáticamente feriados.</t>
      </text>
    </comment>
    <comment authorId="0" ref="F405">
      <text>
        <t xml:space="preserve">Capital al inicio del período en el calendario ORIGINAL, sin recalcular por pagos reales.</t>
      </text>
    </comment>
    <comment authorId="0" ref="G405">
      <text>
        <t xml:space="preserve">Tasa efectiva del mes según la base ingresada.</t>
      </text>
    </comment>
    <comment authorId="0" ref="H405">
      <text>
        <t xml:space="preserve">Interés del período = capital inicial × tasa mensual, redondeado a dos decimales.</t>
      </text>
    </comment>
    <comment authorId="0" ref="I405">
      <text>
        <t xml:space="preserve">Capital e interés pactados. La última cuota ajusta el saldo por redondeo.</t>
      </text>
    </comment>
    <comment authorId="0" ref="J405">
      <text>
        <t xml:space="preserve">Capital amortizado TEÓRICO = cuota base − interés, limitado al saldo.</t>
      </text>
    </comment>
    <comment authorId="0" ref="K405">
      <text>
        <t xml:space="preserve">Seguro y otros cargos fijos del mes.</t>
      </text>
    </comment>
    <comment authorId="0" ref="L405">
      <text>
        <t xml:space="preserve">Cuota base + cargos.</t>
      </text>
    </comment>
    <comment authorId="0" ref="M405">
      <text>
        <t xml:space="preserve">Capital final del calendario teórico. No equivale al saldo real si hay pagos parciales o atrasos.</t>
      </text>
    </comment>
    <comment authorId="0" ref="N405">
      <text>
        <t xml:space="preserve">Suma de pagos válidos del mismo ID y cuota con fecha igual o anterior al corte.</t>
      </text>
    </comment>
    <comment authorId="0" ref="O405">
      <text>
        <t xml:space="preserve">MIN(amortización pactada; MAX(0; pagado − cargos − interés)). No imputa excedentes a otras cuotas.</t>
      </text>
    </comment>
    <comment authorId="0" ref="P405">
      <text>
        <t xml:space="preserve">MAX(0; total pactado − pagado a esta cuota). Incluye capital, interés y cargos pendientes de ESA cuota.</t>
      </text>
    </comment>
    <comment authorId="0" ref="Q405">
      <text>
        <t xml:space="preserve">Días desde vencimiento hasta corte, solo si venció antes del corte y sigue con saldo.</t>
      </text>
    </comment>
    <comment authorId="0" ref="R405">
      <text>
        <t xml:space="preserve">MAX(0; pagado − cuota pactada). Exceso para revisar: no se traspasa a otra cuota.</t>
      </text>
    </comment>
    <comment authorId="0" ref="S405">
      <text>
        <t xml:space="preserve">Pagada, Vencida, Vence hoy, Por vencer o Exceso sin imputar según fecha y saldo al corte.</t>
      </text>
    </comment>
    <comment authorId="0" ref="T405">
      <text>
        <t xml:space="preserve">Auxiliar para encontrar la primera cuota pendiente. El 999999 indica que esta cuota no tiene saldo pendiente o está fuera del plazo, y no es una fecha real.</t>
      </text>
    </comment>
    <comment authorId="0" ref="C406">
      <text>
        <t xml:space="preserve">Crédito al que corresponde esta cuota.</t>
      </text>
    </comment>
    <comment authorId="0" ref="D406">
      <text>
        <t xml:space="preserve">Número de cuota dentro del crédito.</t>
      </text>
    </comment>
    <comment authorId="0" ref="E406">
      <text>
        <t xml:space="preserve">Fecha según EDATE a partir del primer vencimiento. No ajusta automáticamente feriados.</t>
      </text>
    </comment>
    <comment authorId="0" ref="F406">
      <text>
        <t xml:space="preserve">Capital al inicio del período en el calendario ORIGINAL, sin recalcular por pagos reales.</t>
      </text>
    </comment>
    <comment authorId="0" ref="G406">
      <text>
        <t xml:space="preserve">Tasa efectiva del mes según la base ingresada.</t>
      </text>
    </comment>
    <comment authorId="0" ref="H406">
      <text>
        <t xml:space="preserve">Interés del período = capital inicial × tasa mensual, redondeado a dos decimales.</t>
      </text>
    </comment>
    <comment authorId="0" ref="I406">
      <text>
        <t xml:space="preserve">Capital e interés pactados. La última cuota ajusta el saldo por redondeo.</t>
      </text>
    </comment>
    <comment authorId="0" ref="J406">
      <text>
        <t xml:space="preserve">Capital amortizado TEÓRICO = cuota base − interés, limitado al saldo.</t>
      </text>
    </comment>
    <comment authorId="0" ref="K406">
      <text>
        <t xml:space="preserve">Seguro y otros cargos fijos del mes.</t>
      </text>
    </comment>
    <comment authorId="0" ref="L406">
      <text>
        <t xml:space="preserve">Cuota base + cargos.</t>
      </text>
    </comment>
    <comment authorId="0" ref="M406">
      <text>
        <t xml:space="preserve">Capital final del calendario teórico. No equivale al saldo real si hay pagos parciales o atrasos.</t>
      </text>
    </comment>
    <comment authorId="0" ref="N406">
      <text>
        <t xml:space="preserve">Suma de pagos válidos del mismo ID y cuota con fecha igual o anterior al corte.</t>
      </text>
    </comment>
    <comment authorId="0" ref="O406">
      <text>
        <t xml:space="preserve">MIN(amortización pactada; MAX(0; pagado − cargos − interés)). No imputa excedentes a otras cuotas.</t>
      </text>
    </comment>
    <comment authorId="0" ref="P406">
      <text>
        <t xml:space="preserve">MAX(0; total pactado − pagado a esta cuota). Incluye capital, interés y cargos pendientes de ESA cuota.</t>
      </text>
    </comment>
    <comment authorId="0" ref="Q406">
      <text>
        <t xml:space="preserve">Días desde vencimiento hasta corte, solo si venció antes del corte y sigue con saldo.</t>
      </text>
    </comment>
    <comment authorId="0" ref="R406">
      <text>
        <t xml:space="preserve">MAX(0; pagado − cuota pactada). Exceso para revisar: no se traspasa a otra cuota.</t>
      </text>
    </comment>
    <comment authorId="0" ref="S406">
      <text>
        <t xml:space="preserve">Pagada, Vencida, Vence hoy, Por vencer o Exceso sin imputar según fecha y saldo al corte.</t>
      </text>
    </comment>
    <comment authorId="0" ref="T406">
      <text>
        <t xml:space="preserve">Auxiliar para encontrar la primera cuota pendiente. El 999999 indica que esta cuota no tiene saldo pendiente o está fuera del plazo, y no es una fecha real.</t>
      </text>
    </comment>
    <comment authorId="0" ref="C407">
      <text>
        <t xml:space="preserve">Crédito al que corresponde esta cuota.</t>
      </text>
    </comment>
    <comment authorId="0" ref="D407">
      <text>
        <t xml:space="preserve">Número de cuota dentro del crédito.</t>
      </text>
    </comment>
    <comment authorId="0" ref="E407">
      <text>
        <t xml:space="preserve">Fecha según EDATE a partir del primer vencimiento. No ajusta automáticamente feriados.</t>
      </text>
    </comment>
    <comment authorId="0" ref="F407">
      <text>
        <t xml:space="preserve">Capital al inicio del período en el calendario ORIGINAL, sin recalcular por pagos reales.</t>
      </text>
    </comment>
    <comment authorId="0" ref="G407">
      <text>
        <t xml:space="preserve">Tasa efectiva del mes según la base ingresada.</t>
      </text>
    </comment>
    <comment authorId="0" ref="H407">
      <text>
        <t xml:space="preserve">Interés del período = capital inicial × tasa mensual, redondeado a dos decimales.</t>
      </text>
    </comment>
    <comment authorId="0" ref="I407">
      <text>
        <t xml:space="preserve">Capital e interés pactados. La última cuota ajusta el saldo por redondeo.</t>
      </text>
    </comment>
    <comment authorId="0" ref="J407">
      <text>
        <t xml:space="preserve">Capital amortizado TEÓRICO = cuota base − interés, limitado al saldo.</t>
      </text>
    </comment>
    <comment authorId="0" ref="K407">
      <text>
        <t xml:space="preserve">Seguro y otros cargos fijos del mes.</t>
      </text>
    </comment>
    <comment authorId="0" ref="L407">
      <text>
        <t xml:space="preserve">Cuota base + cargos.</t>
      </text>
    </comment>
    <comment authorId="0" ref="M407">
      <text>
        <t xml:space="preserve">Capital final del calendario teórico. No equivale al saldo real si hay pagos parciales o atrasos.</t>
      </text>
    </comment>
    <comment authorId="0" ref="N407">
      <text>
        <t xml:space="preserve">Suma de pagos válidos del mismo ID y cuota con fecha igual o anterior al corte.</t>
      </text>
    </comment>
    <comment authorId="0" ref="O407">
      <text>
        <t xml:space="preserve">MIN(amortización pactada; MAX(0; pagado − cargos − interés)). No imputa excedentes a otras cuotas.</t>
      </text>
    </comment>
    <comment authorId="0" ref="P407">
      <text>
        <t xml:space="preserve">MAX(0; total pactado − pagado a esta cuota). Incluye capital, interés y cargos pendientes de ESA cuota.</t>
      </text>
    </comment>
    <comment authorId="0" ref="Q407">
      <text>
        <t xml:space="preserve">Días desde vencimiento hasta corte, solo si venció antes del corte y sigue con saldo.</t>
      </text>
    </comment>
    <comment authorId="0" ref="R407">
      <text>
        <t xml:space="preserve">MAX(0; pagado − cuota pactada). Exceso para revisar: no se traspasa a otra cuota.</t>
      </text>
    </comment>
    <comment authorId="0" ref="S407">
      <text>
        <t xml:space="preserve">Pagada, Vencida, Vence hoy, Por vencer o Exceso sin imputar según fecha y saldo al corte.</t>
      </text>
    </comment>
    <comment authorId="0" ref="T407">
      <text>
        <t xml:space="preserve">Auxiliar para encontrar la primera cuota pendiente. El 999999 indica que esta cuota no tiene saldo pendiente o está fuera del plazo, y no es una fecha real.</t>
      </text>
    </comment>
    <comment authorId="0" ref="C408">
      <text>
        <t xml:space="preserve">Crédito al que corresponde esta cuota.</t>
      </text>
    </comment>
    <comment authorId="0" ref="D408">
      <text>
        <t xml:space="preserve">Número de cuota dentro del crédito.</t>
      </text>
    </comment>
    <comment authorId="0" ref="E408">
      <text>
        <t xml:space="preserve">Fecha según EDATE a partir del primer vencimiento. No ajusta automáticamente feriados.</t>
      </text>
    </comment>
    <comment authorId="0" ref="F408">
      <text>
        <t xml:space="preserve">Capital al inicio del período en el calendario ORIGINAL, sin recalcular por pagos reales.</t>
      </text>
    </comment>
    <comment authorId="0" ref="G408">
      <text>
        <t xml:space="preserve">Tasa efectiva del mes según la base ingresada.</t>
      </text>
    </comment>
    <comment authorId="0" ref="H408">
      <text>
        <t xml:space="preserve">Interés del período = capital inicial × tasa mensual, redondeado a dos decimales.</t>
      </text>
    </comment>
    <comment authorId="0" ref="I408">
      <text>
        <t xml:space="preserve">Capital e interés pactados. La última cuota ajusta el saldo por redondeo.</t>
      </text>
    </comment>
    <comment authorId="0" ref="J408">
      <text>
        <t xml:space="preserve">Capital amortizado TEÓRICO = cuota base − interés, limitado al saldo.</t>
      </text>
    </comment>
    <comment authorId="0" ref="K408">
      <text>
        <t xml:space="preserve">Seguro y otros cargos fijos del mes.</t>
      </text>
    </comment>
    <comment authorId="0" ref="L408">
      <text>
        <t xml:space="preserve">Cuota base + cargos.</t>
      </text>
    </comment>
    <comment authorId="0" ref="M408">
      <text>
        <t xml:space="preserve">Capital final del calendario teórico. No equivale al saldo real si hay pagos parciales o atrasos.</t>
      </text>
    </comment>
    <comment authorId="0" ref="N408">
      <text>
        <t xml:space="preserve">Suma de pagos válidos del mismo ID y cuota con fecha igual o anterior al corte.</t>
      </text>
    </comment>
    <comment authorId="0" ref="O408">
      <text>
        <t xml:space="preserve">MIN(amortización pactada; MAX(0; pagado − cargos − interés)). No imputa excedentes a otras cuotas.</t>
      </text>
    </comment>
    <comment authorId="0" ref="P408">
      <text>
        <t xml:space="preserve">MAX(0; total pactado − pagado a esta cuota). Incluye capital, interés y cargos pendientes de ESA cuota.</t>
      </text>
    </comment>
    <comment authorId="0" ref="Q408">
      <text>
        <t xml:space="preserve">Días desde vencimiento hasta corte, solo si venció antes del corte y sigue con saldo.</t>
      </text>
    </comment>
    <comment authorId="0" ref="R408">
      <text>
        <t xml:space="preserve">MAX(0; pagado − cuota pactada). Exceso para revisar: no se traspasa a otra cuota.</t>
      </text>
    </comment>
    <comment authorId="0" ref="S408">
      <text>
        <t xml:space="preserve">Pagada, Vencida, Vence hoy, Por vencer o Exceso sin imputar según fecha y saldo al corte.</t>
      </text>
    </comment>
    <comment authorId="0" ref="T408">
      <text>
        <t xml:space="preserve">Auxiliar para encontrar la primera cuota pendiente. El 999999 indica que esta cuota no tiene saldo pendiente o está fuera del plazo, y no es una fecha real.</t>
      </text>
    </comment>
    <comment authorId="0" ref="C409">
      <text>
        <t xml:space="preserve">Crédito al que corresponde esta cuota.</t>
      </text>
    </comment>
    <comment authorId="0" ref="D409">
      <text>
        <t xml:space="preserve">Número de cuota dentro del crédito.</t>
      </text>
    </comment>
    <comment authorId="0" ref="E409">
      <text>
        <t xml:space="preserve">Fecha según EDATE a partir del primer vencimiento. No ajusta automáticamente feriados.</t>
      </text>
    </comment>
    <comment authorId="0" ref="F409">
      <text>
        <t xml:space="preserve">Capital al inicio del período en el calendario ORIGINAL, sin recalcular por pagos reales.</t>
      </text>
    </comment>
    <comment authorId="0" ref="G409">
      <text>
        <t xml:space="preserve">Tasa efectiva del mes según la base ingresada.</t>
      </text>
    </comment>
    <comment authorId="0" ref="H409">
      <text>
        <t xml:space="preserve">Interés del período = capital inicial × tasa mensual, redondeado a dos decimales.</t>
      </text>
    </comment>
    <comment authorId="0" ref="I409">
      <text>
        <t xml:space="preserve">Capital e interés pactados. La última cuota ajusta el saldo por redondeo.</t>
      </text>
    </comment>
    <comment authorId="0" ref="J409">
      <text>
        <t xml:space="preserve">Capital amortizado TEÓRICO = cuota base − interés, limitado al saldo.</t>
      </text>
    </comment>
    <comment authorId="0" ref="K409">
      <text>
        <t xml:space="preserve">Seguro y otros cargos fijos del mes.</t>
      </text>
    </comment>
    <comment authorId="0" ref="L409">
      <text>
        <t xml:space="preserve">Cuota base + cargos.</t>
      </text>
    </comment>
    <comment authorId="0" ref="M409">
      <text>
        <t xml:space="preserve">Capital final del calendario teórico. No equivale al saldo real si hay pagos parciales o atrasos.</t>
      </text>
    </comment>
    <comment authorId="0" ref="N409">
      <text>
        <t xml:space="preserve">Suma de pagos válidos del mismo ID y cuota con fecha igual o anterior al corte.</t>
      </text>
    </comment>
    <comment authorId="0" ref="O409">
      <text>
        <t xml:space="preserve">MIN(amortización pactada; MAX(0; pagado − cargos − interés)). No imputa excedentes a otras cuotas.</t>
      </text>
    </comment>
    <comment authorId="0" ref="P409">
      <text>
        <t xml:space="preserve">MAX(0; total pactado − pagado a esta cuota). Incluye capital, interés y cargos pendientes de ESA cuota.</t>
      </text>
    </comment>
    <comment authorId="0" ref="Q409">
      <text>
        <t xml:space="preserve">Días desde vencimiento hasta corte, solo si venció antes del corte y sigue con saldo.</t>
      </text>
    </comment>
    <comment authorId="0" ref="R409">
      <text>
        <t xml:space="preserve">MAX(0; pagado − cuota pactada). Exceso para revisar: no se traspasa a otra cuota.</t>
      </text>
    </comment>
    <comment authorId="0" ref="S409">
      <text>
        <t xml:space="preserve">Pagada, Vencida, Vence hoy, Por vencer o Exceso sin imputar según fecha y saldo al corte.</t>
      </text>
    </comment>
    <comment authorId="0" ref="T409">
      <text>
        <t xml:space="preserve">Auxiliar para encontrar la primera cuota pendiente. El 999999 indica que esta cuota no tiene saldo pendiente o está fuera del plazo, y no es una fecha real.</t>
      </text>
    </comment>
    <comment authorId="0" ref="C410">
      <text>
        <t xml:space="preserve">Crédito al que corresponde esta cuota.</t>
      </text>
    </comment>
    <comment authorId="0" ref="D410">
      <text>
        <t xml:space="preserve">Número de cuota dentro del crédito.</t>
      </text>
    </comment>
    <comment authorId="0" ref="E410">
      <text>
        <t xml:space="preserve">Fecha según EDATE a partir del primer vencimiento. No ajusta automáticamente feriados.</t>
      </text>
    </comment>
    <comment authorId="0" ref="F410">
      <text>
        <t xml:space="preserve">Capital al inicio del período en el calendario ORIGINAL, sin recalcular por pagos reales.</t>
      </text>
    </comment>
    <comment authorId="0" ref="G410">
      <text>
        <t xml:space="preserve">Tasa efectiva del mes según la base ingresada.</t>
      </text>
    </comment>
    <comment authorId="0" ref="H410">
      <text>
        <t xml:space="preserve">Interés del período = capital inicial × tasa mensual, redondeado a dos decimales.</t>
      </text>
    </comment>
    <comment authorId="0" ref="I410">
      <text>
        <t xml:space="preserve">Capital e interés pactados. La última cuota ajusta el saldo por redondeo.</t>
      </text>
    </comment>
    <comment authorId="0" ref="J410">
      <text>
        <t xml:space="preserve">Capital amortizado TEÓRICO = cuota base − interés, limitado al saldo.</t>
      </text>
    </comment>
    <comment authorId="0" ref="K410">
      <text>
        <t xml:space="preserve">Seguro y otros cargos fijos del mes.</t>
      </text>
    </comment>
    <comment authorId="0" ref="L410">
      <text>
        <t xml:space="preserve">Cuota base + cargos.</t>
      </text>
    </comment>
    <comment authorId="0" ref="M410">
      <text>
        <t xml:space="preserve">Capital final del calendario teórico. No equivale al saldo real si hay pagos parciales o atrasos.</t>
      </text>
    </comment>
    <comment authorId="0" ref="N410">
      <text>
        <t xml:space="preserve">Suma de pagos válidos del mismo ID y cuota con fecha igual o anterior al corte.</t>
      </text>
    </comment>
    <comment authorId="0" ref="O410">
      <text>
        <t xml:space="preserve">MIN(amortización pactada; MAX(0; pagado − cargos − interés)). No imputa excedentes a otras cuotas.</t>
      </text>
    </comment>
    <comment authorId="0" ref="P410">
      <text>
        <t xml:space="preserve">MAX(0; total pactado − pagado a esta cuota). Incluye capital, interés y cargos pendientes de ESA cuota.</t>
      </text>
    </comment>
    <comment authorId="0" ref="Q410">
      <text>
        <t xml:space="preserve">Días desde vencimiento hasta corte, solo si venció antes del corte y sigue con saldo.</t>
      </text>
    </comment>
    <comment authorId="0" ref="R410">
      <text>
        <t xml:space="preserve">MAX(0; pagado − cuota pactada). Exceso para revisar: no se traspasa a otra cuota.</t>
      </text>
    </comment>
    <comment authorId="0" ref="S410">
      <text>
        <t xml:space="preserve">Pagada, Vencida, Vence hoy, Por vencer o Exceso sin imputar según fecha y saldo al corte.</t>
      </text>
    </comment>
    <comment authorId="0" ref="T410">
      <text>
        <t xml:space="preserve">Auxiliar para encontrar la primera cuota pendiente. El 999999 indica que esta cuota no tiene saldo pendiente o está fuera del plazo, y no es una fecha real.</t>
      </text>
    </comment>
    <comment authorId="0" ref="C411">
      <text>
        <t xml:space="preserve">Crédito al que corresponde esta cuota.</t>
      </text>
    </comment>
    <comment authorId="0" ref="D411">
      <text>
        <t xml:space="preserve">Número de cuota dentro del crédito.</t>
      </text>
    </comment>
    <comment authorId="0" ref="E411">
      <text>
        <t xml:space="preserve">Fecha según EDATE a partir del primer vencimiento. No ajusta automáticamente feriados.</t>
      </text>
    </comment>
    <comment authorId="0" ref="F411">
      <text>
        <t xml:space="preserve">Capital al inicio del período en el calendario ORIGINAL, sin recalcular por pagos reales.</t>
      </text>
    </comment>
    <comment authorId="0" ref="G411">
      <text>
        <t xml:space="preserve">Tasa efectiva del mes según la base ingresada.</t>
      </text>
    </comment>
    <comment authorId="0" ref="H411">
      <text>
        <t xml:space="preserve">Interés del período = capital inicial × tasa mensual, redondeado a dos decimales.</t>
      </text>
    </comment>
    <comment authorId="0" ref="I411">
      <text>
        <t xml:space="preserve">Capital e interés pactados. La última cuota ajusta el saldo por redondeo.</t>
      </text>
    </comment>
    <comment authorId="0" ref="J411">
      <text>
        <t xml:space="preserve">Capital amortizado TEÓRICO = cuota base − interés, limitado al saldo.</t>
      </text>
    </comment>
    <comment authorId="0" ref="K411">
      <text>
        <t xml:space="preserve">Seguro y otros cargos fijos del mes.</t>
      </text>
    </comment>
    <comment authorId="0" ref="L411">
      <text>
        <t xml:space="preserve">Cuota base + cargos.</t>
      </text>
    </comment>
    <comment authorId="0" ref="M411">
      <text>
        <t xml:space="preserve">Capital final del calendario teórico. No equivale al saldo real si hay pagos parciales o atrasos.</t>
      </text>
    </comment>
    <comment authorId="0" ref="N411">
      <text>
        <t xml:space="preserve">Suma de pagos válidos del mismo ID y cuota con fecha igual o anterior al corte.</t>
      </text>
    </comment>
    <comment authorId="0" ref="O411">
      <text>
        <t xml:space="preserve">MIN(amortización pactada; MAX(0; pagado − cargos − interés)). No imputa excedentes a otras cuotas.</t>
      </text>
    </comment>
    <comment authorId="0" ref="P411">
      <text>
        <t xml:space="preserve">MAX(0; total pactado − pagado a esta cuota). Incluye capital, interés y cargos pendientes de ESA cuota.</t>
      </text>
    </comment>
    <comment authorId="0" ref="Q411">
      <text>
        <t xml:space="preserve">Días desde vencimiento hasta corte, solo si venció antes del corte y sigue con saldo.</t>
      </text>
    </comment>
    <comment authorId="0" ref="R411">
      <text>
        <t xml:space="preserve">MAX(0; pagado − cuota pactada). Exceso para revisar: no se traspasa a otra cuota.</t>
      </text>
    </comment>
    <comment authorId="0" ref="S411">
      <text>
        <t xml:space="preserve">Pagada, Vencida, Vence hoy, Por vencer o Exceso sin imputar según fecha y saldo al corte.</t>
      </text>
    </comment>
    <comment authorId="0" ref="T411">
      <text>
        <t xml:space="preserve">Auxiliar para encontrar la primera cuota pendiente. El 999999 indica que esta cuota no tiene saldo pendiente o está fuera del plazo, y no es una fecha real.</t>
      </text>
    </comment>
    <comment authorId="0" ref="C412">
      <text>
        <t xml:space="preserve">Crédito al que corresponde esta cuota.</t>
      </text>
    </comment>
    <comment authorId="0" ref="D412">
      <text>
        <t xml:space="preserve">Número de cuota dentro del crédito.</t>
      </text>
    </comment>
    <comment authorId="0" ref="E412">
      <text>
        <t xml:space="preserve">Fecha según EDATE a partir del primer vencimiento. No ajusta automáticamente feriados.</t>
      </text>
    </comment>
    <comment authorId="0" ref="F412">
      <text>
        <t xml:space="preserve">Capital al inicio del período en el calendario ORIGINAL, sin recalcular por pagos reales.</t>
      </text>
    </comment>
    <comment authorId="0" ref="G412">
      <text>
        <t xml:space="preserve">Tasa efectiva del mes según la base ingresada.</t>
      </text>
    </comment>
    <comment authorId="0" ref="H412">
      <text>
        <t xml:space="preserve">Interés del período = capital inicial × tasa mensual, redondeado a dos decimales.</t>
      </text>
    </comment>
    <comment authorId="0" ref="I412">
      <text>
        <t xml:space="preserve">Capital e interés pactados. La última cuota ajusta el saldo por redondeo.</t>
      </text>
    </comment>
    <comment authorId="0" ref="J412">
      <text>
        <t xml:space="preserve">Capital amortizado TEÓRICO = cuota base − interés, limitado al saldo.</t>
      </text>
    </comment>
    <comment authorId="0" ref="K412">
      <text>
        <t xml:space="preserve">Seguro y otros cargos fijos del mes.</t>
      </text>
    </comment>
    <comment authorId="0" ref="L412">
      <text>
        <t xml:space="preserve">Cuota base + cargos.</t>
      </text>
    </comment>
    <comment authorId="0" ref="M412">
      <text>
        <t xml:space="preserve">Capital final del calendario teórico. No equivale al saldo real si hay pagos parciales o atrasos.</t>
      </text>
    </comment>
    <comment authorId="0" ref="N412">
      <text>
        <t xml:space="preserve">Suma de pagos válidos del mismo ID y cuota con fecha igual o anterior al corte.</t>
      </text>
    </comment>
    <comment authorId="0" ref="O412">
      <text>
        <t xml:space="preserve">MIN(amortización pactada; MAX(0; pagado − cargos − interés)). No imputa excedentes a otras cuotas.</t>
      </text>
    </comment>
    <comment authorId="0" ref="P412">
      <text>
        <t xml:space="preserve">MAX(0; total pactado − pagado a esta cuota). Incluye capital, interés y cargos pendientes de ESA cuota.</t>
      </text>
    </comment>
    <comment authorId="0" ref="Q412">
      <text>
        <t xml:space="preserve">Días desde vencimiento hasta corte, solo si venció antes del corte y sigue con saldo.</t>
      </text>
    </comment>
    <comment authorId="0" ref="R412">
      <text>
        <t xml:space="preserve">MAX(0; pagado − cuota pactada). Exceso para revisar: no se traspasa a otra cuota.</t>
      </text>
    </comment>
    <comment authorId="0" ref="S412">
      <text>
        <t xml:space="preserve">Pagada, Vencida, Vence hoy, Por vencer o Exceso sin imputar según fecha y saldo al corte.</t>
      </text>
    </comment>
    <comment authorId="0" ref="T412">
      <text>
        <t xml:space="preserve">Auxiliar para encontrar la primera cuota pendiente. El 999999 indica que esta cuota no tiene saldo pendiente o está fuera del plazo, y no es una fecha real.</t>
      </text>
    </comment>
    <comment authorId="0" ref="C413">
      <text>
        <t xml:space="preserve">Crédito al que corresponde esta cuota.</t>
      </text>
    </comment>
    <comment authorId="0" ref="D413">
      <text>
        <t xml:space="preserve">Número de cuota dentro del crédito.</t>
      </text>
    </comment>
    <comment authorId="0" ref="E413">
      <text>
        <t xml:space="preserve">Fecha según EDATE a partir del primer vencimiento. No ajusta automáticamente feriados.</t>
      </text>
    </comment>
    <comment authorId="0" ref="F413">
      <text>
        <t xml:space="preserve">Capital al inicio del período en el calendario ORIGINAL, sin recalcular por pagos reales.</t>
      </text>
    </comment>
    <comment authorId="0" ref="G413">
      <text>
        <t xml:space="preserve">Tasa efectiva del mes según la base ingresada.</t>
      </text>
    </comment>
    <comment authorId="0" ref="H413">
      <text>
        <t xml:space="preserve">Interés del período = capital inicial × tasa mensual, redondeado a dos decimales.</t>
      </text>
    </comment>
    <comment authorId="0" ref="I413">
      <text>
        <t xml:space="preserve">Capital e interés pactados. La última cuota ajusta el saldo por redondeo.</t>
      </text>
    </comment>
    <comment authorId="0" ref="J413">
      <text>
        <t xml:space="preserve">Capital amortizado TEÓRICO = cuota base − interés, limitado al saldo.</t>
      </text>
    </comment>
    <comment authorId="0" ref="K413">
      <text>
        <t xml:space="preserve">Seguro y otros cargos fijos del mes.</t>
      </text>
    </comment>
    <comment authorId="0" ref="L413">
      <text>
        <t xml:space="preserve">Cuota base + cargos.</t>
      </text>
    </comment>
    <comment authorId="0" ref="M413">
      <text>
        <t xml:space="preserve">Capital final del calendario teórico. No equivale al saldo real si hay pagos parciales o atrasos.</t>
      </text>
    </comment>
    <comment authorId="0" ref="N413">
      <text>
        <t xml:space="preserve">Suma de pagos válidos del mismo ID y cuota con fecha igual o anterior al corte.</t>
      </text>
    </comment>
    <comment authorId="0" ref="O413">
      <text>
        <t xml:space="preserve">MIN(amortización pactada; MAX(0; pagado − cargos − interés)). No imputa excedentes a otras cuotas.</t>
      </text>
    </comment>
    <comment authorId="0" ref="P413">
      <text>
        <t xml:space="preserve">MAX(0; total pactado − pagado a esta cuota). Incluye capital, interés y cargos pendientes de ESA cuota.</t>
      </text>
    </comment>
    <comment authorId="0" ref="Q413">
      <text>
        <t xml:space="preserve">Días desde vencimiento hasta corte, solo si venció antes del corte y sigue con saldo.</t>
      </text>
    </comment>
    <comment authorId="0" ref="R413">
      <text>
        <t xml:space="preserve">MAX(0; pagado − cuota pactada). Exceso para revisar: no se traspasa a otra cuota.</t>
      </text>
    </comment>
    <comment authorId="0" ref="S413">
      <text>
        <t xml:space="preserve">Pagada, Vencida, Vence hoy, Por vencer o Exceso sin imputar según fecha y saldo al corte.</t>
      </text>
    </comment>
    <comment authorId="0" ref="T413">
      <text>
        <t xml:space="preserve">Auxiliar para encontrar la primera cuota pendiente. El 999999 indica que esta cuota no tiene saldo pendiente o está fuera del plazo, y no es una fecha real.</t>
      </text>
    </comment>
    <comment authorId="0" ref="C414">
      <text>
        <t xml:space="preserve">Crédito al que corresponde esta cuota.</t>
      </text>
    </comment>
    <comment authorId="0" ref="D414">
      <text>
        <t xml:space="preserve">Número de cuota dentro del crédito.</t>
      </text>
    </comment>
    <comment authorId="0" ref="E414">
      <text>
        <t xml:space="preserve">Fecha según EDATE a partir del primer vencimiento. No ajusta automáticamente feriados.</t>
      </text>
    </comment>
    <comment authorId="0" ref="F414">
      <text>
        <t xml:space="preserve">Capital al inicio del período en el calendario ORIGINAL, sin recalcular por pagos reales.</t>
      </text>
    </comment>
    <comment authorId="0" ref="G414">
      <text>
        <t xml:space="preserve">Tasa efectiva del mes según la base ingresada.</t>
      </text>
    </comment>
    <comment authorId="0" ref="H414">
      <text>
        <t xml:space="preserve">Interés del período = capital inicial × tasa mensual, redondeado a dos decimales.</t>
      </text>
    </comment>
    <comment authorId="0" ref="I414">
      <text>
        <t xml:space="preserve">Capital e interés pactados. La última cuota ajusta el saldo por redondeo.</t>
      </text>
    </comment>
    <comment authorId="0" ref="J414">
      <text>
        <t xml:space="preserve">Capital amortizado TEÓRICO = cuota base − interés, limitado al saldo.</t>
      </text>
    </comment>
    <comment authorId="0" ref="K414">
      <text>
        <t xml:space="preserve">Seguro y otros cargos fijos del mes.</t>
      </text>
    </comment>
    <comment authorId="0" ref="L414">
      <text>
        <t xml:space="preserve">Cuota base + cargos.</t>
      </text>
    </comment>
    <comment authorId="0" ref="M414">
      <text>
        <t xml:space="preserve">Capital final del calendario teórico. No equivale al saldo real si hay pagos parciales o atrasos.</t>
      </text>
    </comment>
    <comment authorId="0" ref="N414">
      <text>
        <t xml:space="preserve">Suma de pagos válidos del mismo ID y cuota con fecha igual o anterior al corte.</t>
      </text>
    </comment>
    <comment authorId="0" ref="O414">
      <text>
        <t xml:space="preserve">MIN(amortización pactada; MAX(0; pagado − cargos − interés)). No imputa excedentes a otras cuotas.</t>
      </text>
    </comment>
    <comment authorId="0" ref="P414">
      <text>
        <t xml:space="preserve">MAX(0; total pactado − pagado a esta cuota). Incluye capital, interés y cargos pendientes de ESA cuota.</t>
      </text>
    </comment>
    <comment authorId="0" ref="Q414">
      <text>
        <t xml:space="preserve">Días desde vencimiento hasta corte, solo si venció antes del corte y sigue con saldo.</t>
      </text>
    </comment>
    <comment authorId="0" ref="R414">
      <text>
        <t xml:space="preserve">MAX(0; pagado − cuota pactada). Exceso para revisar: no se traspasa a otra cuota.</t>
      </text>
    </comment>
    <comment authorId="0" ref="S414">
      <text>
        <t xml:space="preserve">Pagada, Vencida, Vence hoy, Por vencer o Exceso sin imputar según fecha y saldo al corte.</t>
      </text>
    </comment>
    <comment authorId="0" ref="T414">
      <text>
        <t xml:space="preserve">Auxiliar para encontrar la primera cuota pendiente. El 999999 indica que esta cuota no tiene saldo pendiente o está fuera del plazo, y no es una fecha real.</t>
      </text>
    </comment>
    <comment authorId="0" ref="C415">
      <text>
        <t xml:space="preserve">Crédito al que corresponde esta cuota.</t>
      </text>
    </comment>
    <comment authorId="0" ref="D415">
      <text>
        <t xml:space="preserve">Número de cuota dentro del crédito.</t>
      </text>
    </comment>
    <comment authorId="0" ref="E415">
      <text>
        <t xml:space="preserve">Fecha según EDATE a partir del primer vencimiento. No ajusta automáticamente feriados.</t>
      </text>
    </comment>
    <comment authorId="0" ref="F415">
      <text>
        <t xml:space="preserve">Capital al inicio del período en el calendario ORIGINAL, sin recalcular por pagos reales.</t>
      </text>
    </comment>
    <comment authorId="0" ref="G415">
      <text>
        <t xml:space="preserve">Tasa efectiva del mes según la base ingresada.</t>
      </text>
    </comment>
    <comment authorId="0" ref="H415">
      <text>
        <t xml:space="preserve">Interés del período = capital inicial × tasa mensual, redondeado a dos decimales.</t>
      </text>
    </comment>
    <comment authorId="0" ref="I415">
      <text>
        <t xml:space="preserve">Capital e interés pactados. La última cuota ajusta el saldo por redondeo.</t>
      </text>
    </comment>
    <comment authorId="0" ref="J415">
      <text>
        <t xml:space="preserve">Capital amortizado TEÓRICO = cuota base − interés, limitado al saldo.</t>
      </text>
    </comment>
    <comment authorId="0" ref="K415">
      <text>
        <t xml:space="preserve">Seguro y otros cargos fijos del mes.</t>
      </text>
    </comment>
    <comment authorId="0" ref="L415">
      <text>
        <t xml:space="preserve">Cuota base + cargos.</t>
      </text>
    </comment>
    <comment authorId="0" ref="M415">
      <text>
        <t xml:space="preserve">Capital final del calendario teórico. No equivale al saldo real si hay pagos parciales o atrasos.</t>
      </text>
    </comment>
    <comment authorId="0" ref="N415">
      <text>
        <t xml:space="preserve">Suma de pagos válidos del mismo ID y cuota con fecha igual o anterior al corte.</t>
      </text>
    </comment>
    <comment authorId="0" ref="O415">
      <text>
        <t xml:space="preserve">MIN(amortización pactada; MAX(0; pagado − cargos − interés)). No imputa excedentes a otras cuotas.</t>
      </text>
    </comment>
    <comment authorId="0" ref="P415">
      <text>
        <t xml:space="preserve">MAX(0; total pactado − pagado a esta cuota). Incluye capital, interés y cargos pendientes de ESA cuota.</t>
      </text>
    </comment>
    <comment authorId="0" ref="Q415">
      <text>
        <t xml:space="preserve">Días desde vencimiento hasta corte, solo si venció antes del corte y sigue con saldo.</t>
      </text>
    </comment>
    <comment authorId="0" ref="R415">
      <text>
        <t xml:space="preserve">MAX(0; pagado − cuota pactada). Exceso para revisar: no se traspasa a otra cuota.</t>
      </text>
    </comment>
    <comment authorId="0" ref="S415">
      <text>
        <t xml:space="preserve">Pagada, Vencida, Vence hoy, Por vencer o Exceso sin imputar según fecha y saldo al corte.</t>
      </text>
    </comment>
    <comment authorId="0" ref="T415">
      <text>
        <t xml:space="preserve">Auxiliar para encontrar la primera cuota pendiente. El 999999 indica que esta cuota no tiene saldo pendiente o está fuera del plazo, y no es una fecha real.</t>
      </text>
    </comment>
    <comment authorId="0" ref="C416">
      <text>
        <t xml:space="preserve">Crédito al que corresponde esta cuota.</t>
      </text>
    </comment>
    <comment authorId="0" ref="D416">
      <text>
        <t xml:space="preserve">Número de cuota dentro del crédito.</t>
      </text>
    </comment>
    <comment authorId="0" ref="E416">
      <text>
        <t xml:space="preserve">Fecha según EDATE a partir del primer vencimiento. No ajusta automáticamente feriados.</t>
      </text>
    </comment>
    <comment authorId="0" ref="F416">
      <text>
        <t xml:space="preserve">Capital al inicio del período en el calendario ORIGINAL, sin recalcular por pagos reales.</t>
      </text>
    </comment>
    <comment authorId="0" ref="G416">
      <text>
        <t xml:space="preserve">Tasa efectiva del mes según la base ingresada.</t>
      </text>
    </comment>
    <comment authorId="0" ref="H416">
      <text>
        <t xml:space="preserve">Interés del período = capital inicial × tasa mensual, redondeado a dos decimales.</t>
      </text>
    </comment>
    <comment authorId="0" ref="I416">
      <text>
        <t xml:space="preserve">Capital e interés pactados. La última cuota ajusta el saldo por redondeo.</t>
      </text>
    </comment>
    <comment authorId="0" ref="J416">
      <text>
        <t xml:space="preserve">Capital amortizado TEÓRICO = cuota base − interés, limitado al saldo.</t>
      </text>
    </comment>
    <comment authorId="0" ref="K416">
      <text>
        <t xml:space="preserve">Seguro y otros cargos fijos del mes.</t>
      </text>
    </comment>
    <comment authorId="0" ref="L416">
      <text>
        <t xml:space="preserve">Cuota base + cargos.</t>
      </text>
    </comment>
    <comment authorId="0" ref="M416">
      <text>
        <t xml:space="preserve">Capital final del calendario teórico. No equivale al saldo real si hay pagos parciales o atrasos.</t>
      </text>
    </comment>
    <comment authorId="0" ref="N416">
      <text>
        <t xml:space="preserve">Suma de pagos válidos del mismo ID y cuota con fecha igual o anterior al corte.</t>
      </text>
    </comment>
    <comment authorId="0" ref="O416">
      <text>
        <t xml:space="preserve">MIN(amortización pactada; MAX(0; pagado − cargos − interés)). No imputa excedentes a otras cuotas.</t>
      </text>
    </comment>
    <comment authorId="0" ref="P416">
      <text>
        <t xml:space="preserve">MAX(0; total pactado − pagado a esta cuota). Incluye capital, interés y cargos pendientes de ESA cuota.</t>
      </text>
    </comment>
    <comment authorId="0" ref="Q416">
      <text>
        <t xml:space="preserve">Días desde vencimiento hasta corte, solo si venció antes del corte y sigue con saldo.</t>
      </text>
    </comment>
    <comment authorId="0" ref="R416">
      <text>
        <t xml:space="preserve">MAX(0; pagado − cuota pactada). Exceso para revisar: no se traspasa a otra cuota.</t>
      </text>
    </comment>
    <comment authorId="0" ref="S416">
      <text>
        <t xml:space="preserve">Pagada, Vencida, Vence hoy, Por vencer o Exceso sin imputar según fecha y saldo al corte.</t>
      </text>
    </comment>
    <comment authorId="0" ref="T416">
      <text>
        <t xml:space="preserve">Auxiliar para encontrar la primera cuota pendiente. El 999999 indica que esta cuota no tiene saldo pendiente o está fuera del plazo, y no es una fecha real.</t>
      </text>
    </comment>
    <comment authorId="0" ref="C417">
      <text>
        <t xml:space="preserve">Crédito al que corresponde esta cuota.</t>
      </text>
    </comment>
    <comment authorId="0" ref="D417">
      <text>
        <t xml:space="preserve">Número de cuota dentro del crédito.</t>
      </text>
    </comment>
    <comment authorId="0" ref="E417">
      <text>
        <t xml:space="preserve">Fecha según EDATE a partir del primer vencimiento. No ajusta automáticamente feriados.</t>
      </text>
    </comment>
    <comment authorId="0" ref="F417">
      <text>
        <t xml:space="preserve">Capital al inicio del período en el calendario ORIGINAL, sin recalcular por pagos reales.</t>
      </text>
    </comment>
    <comment authorId="0" ref="G417">
      <text>
        <t xml:space="preserve">Tasa efectiva del mes según la base ingresada.</t>
      </text>
    </comment>
    <comment authorId="0" ref="H417">
      <text>
        <t xml:space="preserve">Interés del período = capital inicial × tasa mensual, redondeado a dos decimales.</t>
      </text>
    </comment>
    <comment authorId="0" ref="I417">
      <text>
        <t xml:space="preserve">Capital e interés pactados. La última cuota ajusta el saldo por redondeo.</t>
      </text>
    </comment>
    <comment authorId="0" ref="J417">
      <text>
        <t xml:space="preserve">Capital amortizado TEÓRICO = cuota base − interés, limitado al saldo.</t>
      </text>
    </comment>
    <comment authorId="0" ref="K417">
      <text>
        <t xml:space="preserve">Seguro y otros cargos fijos del mes.</t>
      </text>
    </comment>
    <comment authorId="0" ref="L417">
      <text>
        <t xml:space="preserve">Cuota base + cargos.</t>
      </text>
    </comment>
    <comment authorId="0" ref="M417">
      <text>
        <t xml:space="preserve">Capital final del calendario teórico. No equivale al saldo real si hay pagos parciales o atrasos.</t>
      </text>
    </comment>
    <comment authorId="0" ref="N417">
      <text>
        <t xml:space="preserve">Suma de pagos válidos del mismo ID y cuota con fecha igual o anterior al corte.</t>
      </text>
    </comment>
    <comment authorId="0" ref="O417">
      <text>
        <t xml:space="preserve">MIN(amortización pactada; MAX(0; pagado − cargos − interés)). No imputa excedentes a otras cuotas.</t>
      </text>
    </comment>
    <comment authorId="0" ref="P417">
      <text>
        <t xml:space="preserve">MAX(0; total pactado − pagado a esta cuota). Incluye capital, interés y cargos pendientes de ESA cuota.</t>
      </text>
    </comment>
    <comment authorId="0" ref="Q417">
      <text>
        <t xml:space="preserve">Días desde vencimiento hasta corte, solo si venció antes del corte y sigue con saldo.</t>
      </text>
    </comment>
    <comment authorId="0" ref="R417">
      <text>
        <t xml:space="preserve">MAX(0; pagado − cuota pactada). Exceso para revisar: no se traspasa a otra cuota.</t>
      </text>
    </comment>
    <comment authorId="0" ref="S417">
      <text>
        <t xml:space="preserve">Pagada, Vencida, Vence hoy, Por vencer o Exceso sin imputar según fecha y saldo al corte.</t>
      </text>
    </comment>
    <comment authorId="0" ref="T417">
      <text>
        <t xml:space="preserve">Auxiliar para encontrar la primera cuota pendiente. El 999999 indica que esta cuota no tiene saldo pendiente o está fuera del plazo, y no es una fecha real.</t>
      </text>
    </comment>
    <comment authorId="0" ref="C418">
      <text>
        <t xml:space="preserve">Crédito al que corresponde esta cuota.</t>
      </text>
    </comment>
    <comment authorId="0" ref="D418">
      <text>
        <t xml:space="preserve">Número de cuota dentro del crédito.</t>
      </text>
    </comment>
    <comment authorId="0" ref="E418">
      <text>
        <t xml:space="preserve">Fecha según EDATE a partir del primer vencimiento. No ajusta automáticamente feriados.</t>
      </text>
    </comment>
    <comment authorId="0" ref="F418">
      <text>
        <t xml:space="preserve">Capital al inicio del período en el calendario ORIGINAL, sin recalcular por pagos reales.</t>
      </text>
    </comment>
    <comment authorId="0" ref="G418">
      <text>
        <t xml:space="preserve">Tasa efectiva del mes según la base ingresada.</t>
      </text>
    </comment>
    <comment authorId="0" ref="H418">
      <text>
        <t xml:space="preserve">Interés del período = capital inicial × tasa mensual, redondeado a dos decimales.</t>
      </text>
    </comment>
    <comment authorId="0" ref="I418">
      <text>
        <t xml:space="preserve">Capital e interés pactados. La última cuota ajusta el saldo por redondeo.</t>
      </text>
    </comment>
    <comment authorId="0" ref="J418">
      <text>
        <t xml:space="preserve">Capital amortizado TEÓRICO = cuota base − interés, limitado al saldo.</t>
      </text>
    </comment>
    <comment authorId="0" ref="K418">
      <text>
        <t xml:space="preserve">Seguro y otros cargos fijos del mes.</t>
      </text>
    </comment>
    <comment authorId="0" ref="L418">
      <text>
        <t xml:space="preserve">Cuota base + cargos.</t>
      </text>
    </comment>
    <comment authorId="0" ref="M418">
      <text>
        <t xml:space="preserve">Capital final del calendario teórico. No equivale al saldo real si hay pagos parciales o atrasos.</t>
      </text>
    </comment>
    <comment authorId="0" ref="N418">
      <text>
        <t xml:space="preserve">Suma de pagos válidos del mismo ID y cuota con fecha igual o anterior al corte.</t>
      </text>
    </comment>
    <comment authorId="0" ref="O418">
      <text>
        <t xml:space="preserve">MIN(amortización pactada; MAX(0; pagado − cargos − interés)). No imputa excedentes a otras cuotas.</t>
      </text>
    </comment>
    <comment authorId="0" ref="P418">
      <text>
        <t xml:space="preserve">MAX(0; total pactado − pagado a esta cuota). Incluye capital, interés y cargos pendientes de ESA cuota.</t>
      </text>
    </comment>
    <comment authorId="0" ref="Q418">
      <text>
        <t xml:space="preserve">Días desde vencimiento hasta corte, solo si venció antes del corte y sigue con saldo.</t>
      </text>
    </comment>
    <comment authorId="0" ref="R418">
      <text>
        <t xml:space="preserve">MAX(0; pagado − cuota pactada). Exceso para revisar: no se traspasa a otra cuota.</t>
      </text>
    </comment>
    <comment authorId="0" ref="S418">
      <text>
        <t xml:space="preserve">Pagada, Vencida, Vence hoy, Por vencer o Exceso sin imputar según fecha y saldo al corte.</t>
      </text>
    </comment>
    <comment authorId="0" ref="T418">
      <text>
        <t xml:space="preserve">Auxiliar para encontrar la primera cuota pendiente. El 999999 indica que esta cuota no tiene saldo pendiente o está fuera del plazo, y no es una fecha real.</t>
      </text>
    </comment>
    <comment authorId="0" ref="C419">
      <text>
        <t xml:space="preserve">Crédito al que corresponde esta cuota.</t>
      </text>
    </comment>
    <comment authorId="0" ref="D419">
      <text>
        <t xml:space="preserve">Número de cuota dentro del crédito.</t>
      </text>
    </comment>
    <comment authorId="0" ref="E419">
      <text>
        <t xml:space="preserve">Fecha según EDATE a partir del primer vencimiento. No ajusta automáticamente feriados.</t>
      </text>
    </comment>
    <comment authorId="0" ref="F419">
      <text>
        <t xml:space="preserve">Capital al inicio del período en el calendario ORIGINAL, sin recalcular por pagos reales.</t>
      </text>
    </comment>
    <comment authorId="0" ref="G419">
      <text>
        <t xml:space="preserve">Tasa efectiva del mes según la base ingresada.</t>
      </text>
    </comment>
    <comment authorId="0" ref="H419">
      <text>
        <t xml:space="preserve">Interés del período = capital inicial × tasa mensual, redondeado a dos decimales.</t>
      </text>
    </comment>
    <comment authorId="0" ref="I419">
      <text>
        <t xml:space="preserve">Capital e interés pactados. La última cuota ajusta el saldo por redondeo.</t>
      </text>
    </comment>
    <comment authorId="0" ref="J419">
      <text>
        <t xml:space="preserve">Capital amortizado TEÓRICO = cuota base − interés, limitado al saldo.</t>
      </text>
    </comment>
    <comment authorId="0" ref="K419">
      <text>
        <t xml:space="preserve">Seguro y otros cargos fijos del mes.</t>
      </text>
    </comment>
    <comment authorId="0" ref="L419">
      <text>
        <t xml:space="preserve">Cuota base + cargos.</t>
      </text>
    </comment>
    <comment authorId="0" ref="M419">
      <text>
        <t xml:space="preserve">Capital final del calendario teórico. No equivale al saldo real si hay pagos parciales o atrasos.</t>
      </text>
    </comment>
    <comment authorId="0" ref="N419">
      <text>
        <t xml:space="preserve">Suma de pagos válidos del mismo ID y cuota con fecha igual o anterior al corte.</t>
      </text>
    </comment>
    <comment authorId="0" ref="O419">
      <text>
        <t xml:space="preserve">MIN(amortización pactada; MAX(0; pagado − cargos − interés)). No imputa excedentes a otras cuotas.</t>
      </text>
    </comment>
    <comment authorId="0" ref="P419">
      <text>
        <t xml:space="preserve">MAX(0; total pactado − pagado a esta cuota). Incluye capital, interés y cargos pendientes de ESA cuota.</t>
      </text>
    </comment>
    <comment authorId="0" ref="Q419">
      <text>
        <t xml:space="preserve">Días desde vencimiento hasta corte, solo si venció antes del corte y sigue con saldo.</t>
      </text>
    </comment>
    <comment authorId="0" ref="R419">
      <text>
        <t xml:space="preserve">MAX(0; pagado − cuota pactada). Exceso para revisar: no se traspasa a otra cuota.</t>
      </text>
    </comment>
    <comment authorId="0" ref="S419">
      <text>
        <t xml:space="preserve">Pagada, Vencida, Vence hoy, Por vencer o Exceso sin imputar según fecha y saldo al corte.</t>
      </text>
    </comment>
    <comment authorId="0" ref="T419">
      <text>
        <t xml:space="preserve">Auxiliar para encontrar la primera cuota pendiente. El 999999 indica que esta cuota no tiene saldo pendiente o está fuera del plazo, y no es una fecha real.</t>
      </text>
    </comment>
    <comment authorId="0" ref="C420">
      <text>
        <t xml:space="preserve">Crédito al que corresponde esta cuota.</t>
      </text>
    </comment>
    <comment authorId="0" ref="D420">
      <text>
        <t xml:space="preserve">Número de cuota dentro del crédito.</t>
      </text>
    </comment>
    <comment authorId="0" ref="E420">
      <text>
        <t xml:space="preserve">Fecha según EDATE a partir del primer vencimiento. No ajusta automáticamente feriados.</t>
      </text>
    </comment>
    <comment authorId="0" ref="F420">
      <text>
        <t xml:space="preserve">Capital al inicio del período en el calendario ORIGINAL, sin recalcular por pagos reales.</t>
      </text>
    </comment>
    <comment authorId="0" ref="G420">
      <text>
        <t xml:space="preserve">Tasa efectiva del mes según la base ingresada.</t>
      </text>
    </comment>
    <comment authorId="0" ref="H420">
      <text>
        <t xml:space="preserve">Interés del período = capital inicial × tasa mensual, redondeado a dos decimales.</t>
      </text>
    </comment>
    <comment authorId="0" ref="I420">
      <text>
        <t xml:space="preserve">Capital e interés pactados. La última cuota ajusta el saldo por redondeo.</t>
      </text>
    </comment>
    <comment authorId="0" ref="J420">
      <text>
        <t xml:space="preserve">Capital amortizado TEÓRICO = cuota base − interés, limitado al saldo.</t>
      </text>
    </comment>
    <comment authorId="0" ref="K420">
      <text>
        <t xml:space="preserve">Seguro y otros cargos fijos del mes.</t>
      </text>
    </comment>
    <comment authorId="0" ref="L420">
      <text>
        <t xml:space="preserve">Cuota base + cargos.</t>
      </text>
    </comment>
    <comment authorId="0" ref="M420">
      <text>
        <t xml:space="preserve">Capital final del calendario teórico. No equivale al saldo real si hay pagos parciales o atrasos.</t>
      </text>
    </comment>
    <comment authorId="0" ref="N420">
      <text>
        <t xml:space="preserve">Suma de pagos válidos del mismo ID y cuota con fecha igual o anterior al corte.</t>
      </text>
    </comment>
    <comment authorId="0" ref="O420">
      <text>
        <t xml:space="preserve">MIN(amortización pactada; MAX(0; pagado − cargos − interés)). No imputa excedentes a otras cuotas.</t>
      </text>
    </comment>
    <comment authorId="0" ref="P420">
      <text>
        <t xml:space="preserve">MAX(0; total pactado − pagado a esta cuota). Incluye capital, interés y cargos pendientes de ESA cuota.</t>
      </text>
    </comment>
    <comment authorId="0" ref="Q420">
      <text>
        <t xml:space="preserve">Días desde vencimiento hasta corte, solo si venció antes del corte y sigue con saldo.</t>
      </text>
    </comment>
    <comment authorId="0" ref="R420">
      <text>
        <t xml:space="preserve">MAX(0; pagado − cuota pactada). Exceso para revisar: no se traspasa a otra cuota.</t>
      </text>
    </comment>
    <comment authorId="0" ref="S420">
      <text>
        <t xml:space="preserve">Pagada, Vencida, Vence hoy, Por vencer o Exceso sin imputar según fecha y saldo al corte.</t>
      </text>
    </comment>
    <comment authorId="0" ref="T420">
      <text>
        <t xml:space="preserve">Auxiliar para encontrar la primera cuota pendiente. El 999999 indica que esta cuota no tiene saldo pendiente o está fuera del plazo, y no es una fecha real.</t>
      </text>
    </comment>
    <comment authorId="0" ref="C421">
      <text>
        <t xml:space="preserve">Crédito al que corresponde esta cuota.</t>
      </text>
    </comment>
    <comment authorId="0" ref="D421">
      <text>
        <t xml:space="preserve">Número de cuota dentro del crédito.</t>
      </text>
    </comment>
    <comment authorId="0" ref="E421">
      <text>
        <t xml:space="preserve">Fecha según EDATE a partir del primer vencimiento. No ajusta automáticamente feriados.</t>
      </text>
    </comment>
    <comment authorId="0" ref="F421">
      <text>
        <t xml:space="preserve">Capital al inicio del período en el calendario ORIGINAL, sin recalcular por pagos reales.</t>
      </text>
    </comment>
    <comment authorId="0" ref="G421">
      <text>
        <t xml:space="preserve">Tasa efectiva del mes según la base ingresada.</t>
      </text>
    </comment>
    <comment authorId="0" ref="H421">
      <text>
        <t xml:space="preserve">Interés del período = capital inicial × tasa mensual, redondeado a dos decimales.</t>
      </text>
    </comment>
    <comment authorId="0" ref="I421">
      <text>
        <t xml:space="preserve">Capital e interés pactados. La última cuota ajusta el saldo por redondeo.</t>
      </text>
    </comment>
    <comment authorId="0" ref="J421">
      <text>
        <t xml:space="preserve">Capital amortizado TEÓRICO = cuota base − interés, limitado al saldo.</t>
      </text>
    </comment>
    <comment authorId="0" ref="K421">
      <text>
        <t xml:space="preserve">Seguro y otros cargos fijos del mes.</t>
      </text>
    </comment>
    <comment authorId="0" ref="L421">
      <text>
        <t xml:space="preserve">Cuota base + cargos.</t>
      </text>
    </comment>
    <comment authorId="0" ref="M421">
      <text>
        <t xml:space="preserve">Capital final del calendario teórico. No equivale al saldo real si hay pagos parciales o atrasos.</t>
      </text>
    </comment>
    <comment authorId="0" ref="N421">
      <text>
        <t xml:space="preserve">Suma de pagos válidos del mismo ID y cuota con fecha igual o anterior al corte.</t>
      </text>
    </comment>
    <comment authorId="0" ref="O421">
      <text>
        <t xml:space="preserve">MIN(amortización pactada; MAX(0; pagado − cargos − interés)). No imputa excedentes a otras cuotas.</t>
      </text>
    </comment>
    <comment authorId="0" ref="P421">
      <text>
        <t xml:space="preserve">MAX(0; total pactado − pagado a esta cuota). Incluye capital, interés y cargos pendientes de ESA cuota.</t>
      </text>
    </comment>
    <comment authorId="0" ref="Q421">
      <text>
        <t xml:space="preserve">Días desde vencimiento hasta corte, solo si venció antes del corte y sigue con saldo.</t>
      </text>
    </comment>
    <comment authorId="0" ref="R421">
      <text>
        <t xml:space="preserve">MAX(0; pagado − cuota pactada). Exceso para revisar: no se traspasa a otra cuota.</t>
      </text>
    </comment>
    <comment authorId="0" ref="S421">
      <text>
        <t xml:space="preserve">Pagada, Vencida, Vence hoy, Por vencer o Exceso sin imputar según fecha y saldo al corte.</t>
      </text>
    </comment>
    <comment authorId="0" ref="T421">
      <text>
        <t xml:space="preserve">Auxiliar para encontrar la primera cuota pendiente. El 999999 indica que esta cuota no tiene saldo pendiente o está fuera del plazo, y no es una fecha real.</t>
      </text>
    </comment>
    <comment authorId="0" ref="C422">
      <text>
        <t xml:space="preserve">Crédito al que corresponde esta cuota.</t>
      </text>
    </comment>
    <comment authorId="0" ref="D422">
      <text>
        <t xml:space="preserve">Número de cuota dentro del crédito.</t>
      </text>
    </comment>
    <comment authorId="0" ref="E422">
      <text>
        <t xml:space="preserve">Fecha según EDATE a partir del primer vencimiento. No ajusta automáticamente feriados.</t>
      </text>
    </comment>
    <comment authorId="0" ref="F422">
      <text>
        <t xml:space="preserve">Capital al inicio del período en el calendario ORIGINAL, sin recalcular por pagos reales.</t>
      </text>
    </comment>
    <comment authorId="0" ref="G422">
      <text>
        <t xml:space="preserve">Tasa efectiva del mes según la base ingresada.</t>
      </text>
    </comment>
    <comment authorId="0" ref="H422">
      <text>
        <t xml:space="preserve">Interés del período = capital inicial × tasa mensual, redondeado a dos decimales.</t>
      </text>
    </comment>
    <comment authorId="0" ref="I422">
      <text>
        <t xml:space="preserve">Capital e interés pactados. La última cuota ajusta el saldo por redondeo.</t>
      </text>
    </comment>
    <comment authorId="0" ref="J422">
      <text>
        <t xml:space="preserve">Capital amortizado TEÓRICO = cuota base − interés, limitado al saldo.</t>
      </text>
    </comment>
    <comment authorId="0" ref="K422">
      <text>
        <t xml:space="preserve">Seguro y otros cargos fijos del mes.</t>
      </text>
    </comment>
    <comment authorId="0" ref="L422">
      <text>
        <t xml:space="preserve">Cuota base + cargos.</t>
      </text>
    </comment>
    <comment authorId="0" ref="M422">
      <text>
        <t xml:space="preserve">Capital final del calendario teórico. No equivale al saldo real si hay pagos parciales o atrasos.</t>
      </text>
    </comment>
    <comment authorId="0" ref="N422">
      <text>
        <t xml:space="preserve">Suma de pagos válidos del mismo ID y cuota con fecha igual o anterior al corte.</t>
      </text>
    </comment>
    <comment authorId="0" ref="O422">
      <text>
        <t xml:space="preserve">MIN(amortización pactada; MAX(0; pagado − cargos − interés)). No imputa excedentes a otras cuotas.</t>
      </text>
    </comment>
    <comment authorId="0" ref="P422">
      <text>
        <t xml:space="preserve">MAX(0; total pactado − pagado a esta cuota). Incluye capital, interés y cargos pendientes de ESA cuota.</t>
      </text>
    </comment>
    <comment authorId="0" ref="Q422">
      <text>
        <t xml:space="preserve">Días desde vencimiento hasta corte, solo si venció antes del corte y sigue con saldo.</t>
      </text>
    </comment>
    <comment authorId="0" ref="R422">
      <text>
        <t xml:space="preserve">MAX(0; pagado − cuota pactada). Exceso para revisar: no se traspasa a otra cuota.</t>
      </text>
    </comment>
    <comment authorId="0" ref="S422">
      <text>
        <t xml:space="preserve">Pagada, Vencida, Vence hoy, Por vencer o Exceso sin imputar según fecha y saldo al corte.</t>
      </text>
    </comment>
    <comment authorId="0" ref="T422">
      <text>
        <t xml:space="preserve">Auxiliar para encontrar la primera cuota pendiente. El 999999 indica que esta cuota no tiene saldo pendiente o está fuera del plazo, y no es una fecha real.</t>
      </text>
    </comment>
    <comment authorId="0" ref="C423">
      <text>
        <t xml:space="preserve">Crédito al que corresponde esta cuota.</t>
      </text>
    </comment>
    <comment authorId="0" ref="D423">
      <text>
        <t xml:space="preserve">Número de cuota dentro del crédito.</t>
      </text>
    </comment>
    <comment authorId="0" ref="E423">
      <text>
        <t xml:space="preserve">Fecha según EDATE a partir del primer vencimiento. No ajusta automáticamente feriados.</t>
      </text>
    </comment>
    <comment authorId="0" ref="F423">
      <text>
        <t xml:space="preserve">Capital al inicio del período en el calendario ORIGINAL, sin recalcular por pagos reales.</t>
      </text>
    </comment>
    <comment authorId="0" ref="G423">
      <text>
        <t xml:space="preserve">Tasa efectiva del mes según la base ingresada.</t>
      </text>
    </comment>
    <comment authorId="0" ref="H423">
      <text>
        <t xml:space="preserve">Interés del período = capital inicial × tasa mensual, redondeado a dos decimales.</t>
      </text>
    </comment>
    <comment authorId="0" ref="I423">
      <text>
        <t xml:space="preserve">Capital e interés pactados. La última cuota ajusta el saldo por redondeo.</t>
      </text>
    </comment>
    <comment authorId="0" ref="J423">
      <text>
        <t xml:space="preserve">Capital amortizado TEÓRICO = cuota base − interés, limitado al saldo.</t>
      </text>
    </comment>
    <comment authorId="0" ref="K423">
      <text>
        <t xml:space="preserve">Seguro y otros cargos fijos del mes.</t>
      </text>
    </comment>
    <comment authorId="0" ref="L423">
      <text>
        <t xml:space="preserve">Cuota base + cargos.</t>
      </text>
    </comment>
    <comment authorId="0" ref="M423">
      <text>
        <t xml:space="preserve">Capital final del calendario teórico. No equivale al saldo real si hay pagos parciales o atrasos.</t>
      </text>
    </comment>
    <comment authorId="0" ref="N423">
      <text>
        <t xml:space="preserve">Suma de pagos válidos del mismo ID y cuota con fecha igual o anterior al corte.</t>
      </text>
    </comment>
    <comment authorId="0" ref="O423">
      <text>
        <t xml:space="preserve">MIN(amortización pactada; MAX(0; pagado − cargos − interés)). No imputa excedentes a otras cuotas.</t>
      </text>
    </comment>
    <comment authorId="0" ref="P423">
      <text>
        <t xml:space="preserve">MAX(0; total pactado − pagado a esta cuota). Incluye capital, interés y cargos pendientes de ESA cuota.</t>
      </text>
    </comment>
    <comment authorId="0" ref="Q423">
      <text>
        <t xml:space="preserve">Días desde vencimiento hasta corte, solo si venció antes del corte y sigue con saldo.</t>
      </text>
    </comment>
    <comment authorId="0" ref="R423">
      <text>
        <t xml:space="preserve">MAX(0; pagado − cuota pactada). Exceso para revisar: no se traspasa a otra cuota.</t>
      </text>
    </comment>
    <comment authorId="0" ref="S423">
      <text>
        <t xml:space="preserve">Pagada, Vencida, Vence hoy, Por vencer o Exceso sin imputar según fecha y saldo al corte.</t>
      </text>
    </comment>
    <comment authorId="0" ref="T423">
      <text>
        <t xml:space="preserve">Auxiliar para encontrar la primera cuota pendiente. El 999999 indica que esta cuota no tiene saldo pendiente o está fuera del plazo, y no es una fecha real.</t>
      </text>
    </comment>
    <comment authorId="0" ref="C424">
      <text>
        <t xml:space="preserve">Crédito al que corresponde esta cuota.</t>
      </text>
    </comment>
    <comment authorId="0" ref="D424">
      <text>
        <t xml:space="preserve">Número de cuota dentro del crédito.</t>
      </text>
    </comment>
    <comment authorId="0" ref="E424">
      <text>
        <t xml:space="preserve">Fecha según EDATE a partir del primer vencimiento. No ajusta automáticamente feriados.</t>
      </text>
    </comment>
    <comment authorId="0" ref="F424">
      <text>
        <t xml:space="preserve">Capital al inicio del período en el calendario ORIGINAL, sin recalcular por pagos reales.</t>
      </text>
    </comment>
    <comment authorId="0" ref="G424">
      <text>
        <t xml:space="preserve">Tasa efectiva del mes según la base ingresada.</t>
      </text>
    </comment>
    <comment authorId="0" ref="H424">
      <text>
        <t xml:space="preserve">Interés del período = capital inicial × tasa mensual, redondeado a dos decimales.</t>
      </text>
    </comment>
    <comment authorId="0" ref="I424">
      <text>
        <t xml:space="preserve">Capital e interés pactados. La última cuota ajusta el saldo por redondeo.</t>
      </text>
    </comment>
    <comment authorId="0" ref="J424">
      <text>
        <t xml:space="preserve">Capital amortizado TEÓRICO = cuota base − interés, limitado al saldo.</t>
      </text>
    </comment>
    <comment authorId="0" ref="K424">
      <text>
        <t xml:space="preserve">Seguro y otros cargos fijos del mes.</t>
      </text>
    </comment>
    <comment authorId="0" ref="L424">
      <text>
        <t xml:space="preserve">Cuota base + cargos.</t>
      </text>
    </comment>
    <comment authorId="0" ref="M424">
      <text>
        <t xml:space="preserve">Capital final del calendario teórico. No equivale al saldo real si hay pagos parciales o atrasos.</t>
      </text>
    </comment>
    <comment authorId="0" ref="N424">
      <text>
        <t xml:space="preserve">Suma de pagos válidos del mismo ID y cuota con fecha igual o anterior al corte.</t>
      </text>
    </comment>
    <comment authorId="0" ref="O424">
      <text>
        <t xml:space="preserve">MIN(amortización pactada; MAX(0; pagado − cargos − interés)). No imputa excedentes a otras cuotas.</t>
      </text>
    </comment>
    <comment authorId="0" ref="P424">
      <text>
        <t xml:space="preserve">MAX(0; total pactado − pagado a esta cuota). Incluye capital, interés y cargos pendientes de ESA cuota.</t>
      </text>
    </comment>
    <comment authorId="0" ref="Q424">
      <text>
        <t xml:space="preserve">Días desde vencimiento hasta corte, solo si venció antes del corte y sigue con saldo.</t>
      </text>
    </comment>
    <comment authorId="0" ref="R424">
      <text>
        <t xml:space="preserve">MAX(0; pagado − cuota pactada). Exceso para revisar: no se traspasa a otra cuota.</t>
      </text>
    </comment>
    <comment authorId="0" ref="S424">
      <text>
        <t xml:space="preserve">Pagada, Vencida, Vence hoy, Por vencer o Exceso sin imputar según fecha y saldo al corte.</t>
      </text>
    </comment>
    <comment authorId="0" ref="T424">
      <text>
        <t xml:space="preserve">Auxiliar para encontrar la primera cuota pendiente. El 999999 indica que esta cuota no tiene saldo pendiente o está fuera del plazo, y no es una fecha real.</t>
      </text>
    </comment>
    <comment authorId="0" ref="C425">
      <text>
        <t xml:space="preserve">Crédito al que corresponde esta cuota.</t>
      </text>
    </comment>
    <comment authorId="0" ref="D425">
      <text>
        <t xml:space="preserve">Número de cuota dentro del crédito.</t>
      </text>
    </comment>
    <comment authorId="0" ref="E425">
      <text>
        <t xml:space="preserve">Fecha según EDATE a partir del primer vencimiento. No ajusta automáticamente feriados.</t>
      </text>
    </comment>
    <comment authorId="0" ref="F425">
      <text>
        <t xml:space="preserve">Capital al inicio del período en el calendario ORIGINAL, sin recalcular por pagos reales.</t>
      </text>
    </comment>
    <comment authorId="0" ref="G425">
      <text>
        <t xml:space="preserve">Tasa efectiva del mes según la base ingresada.</t>
      </text>
    </comment>
    <comment authorId="0" ref="H425">
      <text>
        <t xml:space="preserve">Interés del período = capital inicial × tasa mensual, redondeado a dos decimales.</t>
      </text>
    </comment>
    <comment authorId="0" ref="I425">
      <text>
        <t xml:space="preserve">Capital e interés pactados. La última cuota ajusta el saldo por redondeo.</t>
      </text>
    </comment>
    <comment authorId="0" ref="J425">
      <text>
        <t xml:space="preserve">Capital amortizado TEÓRICO = cuota base − interés, limitado al saldo.</t>
      </text>
    </comment>
    <comment authorId="0" ref="K425">
      <text>
        <t xml:space="preserve">Seguro y otros cargos fijos del mes.</t>
      </text>
    </comment>
    <comment authorId="0" ref="L425">
      <text>
        <t xml:space="preserve">Cuota base + cargos.</t>
      </text>
    </comment>
    <comment authorId="0" ref="M425">
      <text>
        <t xml:space="preserve">Capital final del calendario teórico. No equivale al saldo real si hay pagos parciales o atrasos.</t>
      </text>
    </comment>
    <comment authorId="0" ref="N425">
      <text>
        <t xml:space="preserve">Suma de pagos válidos del mismo ID y cuota con fecha igual o anterior al corte.</t>
      </text>
    </comment>
    <comment authorId="0" ref="O425">
      <text>
        <t xml:space="preserve">MIN(amortización pactada; MAX(0; pagado − cargos − interés)). No imputa excedentes a otras cuotas.</t>
      </text>
    </comment>
    <comment authorId="0" ref="P425">
      <text>
        <t xml:space="preserve">MAX(0; total pactado − pagado a esta cuota). Incluye capital, interés y cargos pendientes de ESA cuota.</t>
      </text>
    </comment>
    <comment authorId="0" ref="Q425">
      <text>
        <t xml:space="preserve">Días desde vencimiento hasta corte, solo si venció antes del corte y sigue con saldo.</t>
      </text>
    </comment>
    <comment authorId="0" ref="R425">
      <text>
        <t xml:space="preserve">MAX(0; pagado − cuota pactada). Exceso para revisar: no se traspasa a otra cuota.</t>
      </text>
    </comment>
    <comment authorId="0" ref="S425">
      <text>
        <t xml:space="preserve">Pagada, Vencida, Vence hoy, Por vencer o Exceso sin imputar según fecha y saldo al corte.</t>
      </text>
    </comment>
    <comment authorId="0" ref="T425">
      <text>
        <t xml:space="preserve">Auxiliar para encontrar la primera cuota pendiente. El 999999 indica que esta cuota no tiene saldo pendiente o está fuera del plazo, y no es una fecha real.</t>
      </text>
    </comment>
    <comment authorId="0" ref="C426">
      <text>
        <t xml:space="preserve">Crédito al que corresponde esta cuota.</t>
      </text>
    </comment>
    <comment authorId="0" ref="D426">
      <text>
        <t xml:space="preserve">Número de cuota dentro del crédito.</t>
      </text>
    </comment>
    <comment authorId="0" ref="E426">
      <text>
        <t xml:space="preserve">Fecha según EDATE a partir del primer vencimiento. No ajusta automáticamente feriados.</t>
      </text>
    </comment>
    <comment authorId="0" ref="F426">
      <text>
        <t xml:space="preserve">Capital al inicio del período en el calendario ORIGINAL, sin recalcular por pagos reales.</t>
      </text>
    </comment>
    <comment authorId="0" ref="G426">
      <text>
        <t xml:space="preserve">Tasa efectiva del mes según la base ingresada.</t>
      </text>
    </comment>
    <comment authorId="0" ref="H426">
      <text>
        <t xml:space="preserve">Interés del período = capital inicial × tasa mensual, redondeado a dos decimales.</t>
      </text>
    </comment>
    <comment authorId="0" ref="I426">
      <text>
        <t xml:space="preserve">Capital e interés pactados. La última cuota ajusta el saldo por redondeo.</t>
      </text>
    </comment>
    <comment authorId="0" ref="J426">
      <text>
        <t xml:space="preserve">Capital amortizado TEÓRICO = cuota base − interés, limitado al saldo.</t>
      </text>
    </comment>
    <comment authorId="0" ref="K426">
      <text>
        <t xml:space="preserve">Seguro y otros cargos fijos del mes.</t>
      </text>
    </comment>
    <comment authorId="0" ref="L426">
      <text>
        <t xml:space="preserve">Cuota base + cargos.</t>
      </text>
    </comment>
    <comment authorId="0" ref="M426">
      <text>
        <t xml:space="preserve">Capital final del calendario teórico. No equivale al saldo real si hay pagos parciales o atrasos.</t>
      </text>
    </comment>
    <comment authorId="0" ref="N426">
      <text>
        <t xml:space="preserve">Suma de pagos válidos del mismo ID y cuota con fecha igual o anterior al corte.</t>
      </text>
    </comment>
    <comment authorId="0" ref="O426">
      <text>
        <t xml:space="preserve">MIN(amortización pactada; MAX(0; pagado − cargos − interés)). No imputa excedentes a otras cuotas.</t>
      </text>
    </comment>
    <comment authorId="0" ref="P426">
      <text>
        <t xml:space="preserve">MAX(0; total pactado − pagado a esta cuota). Incluye capital, interés y cargos pendientes de ESA cuota.</t>
      </text>
    </comment>
    <comment authorId="0" ref="Q426">
      <text>
        <t xml:space="preserve">Días desde vencimiento hasta corte, solo si venció antes del corte y sigue con saldo.</t>
      </text>
    </comment>
    <comment authorId="0" ref="R426">
      <text>
        <t xml:space="preserve">MAX(0; pagado − cuota pactada). Exceso para revisar: no se traspasa a otra cuota.</t>
      </text>
    </comment>
    <comment authorId="0" ref="S426">
      <text>
        <t xml:space="preserve">Pagada, Vencida, Vence hoy, Por vencer o Exceso sin imputar según fecha y saldo al corte.</t>
      </text>
    </comment>
    <comment authorId="0" ref="T426">
      <text>
        <t xml:space="preserve">Auxiliar para encontrar la primera cuota pendiente. El 999999 indica que esta cuota no tiene saldo pendiente o está fuera del plazo, y no es una fecha real.</t>
      </text>
    </comment>
    <comment authorId="0" ref="C427">
      <text>
        <t xml:space="preserve">Crédito al que corresponde esta cuota.</t>
      </text>
    </comment>
    <comment authorId="0" ref="D427">
      <text>
        <t xml:space="preserve">Número de cuota dentro del crédito.</t>
      </text>
    </comment>
    <comment authorId="0" ref="E427">
      <text>
        <t xml:space="preserve">Fecha según EDATE a partir del primer vencimiento. No ajusta automáticamente feriados.</t>
      </text>
    </comment>
    <comment authorId="0" ref="F427">
      <text>
        <t xml:space="preserve">Capital al inicio del período en el calendario ORIGINAL, sin recalcular por pagos reales.</t>
      </text>
    </comment>
    <comment authorId="0" ref="G427">
      <text>
        <t xml:space="preserve">Tasa efectiva del mes según la base ingresada.</t>
      </text>
    </comment>
    <comment authorId="0" ref="H427">
      <text>
        <t xml:space="preserve">Interés del período = capital inicial × tasa mensual, redondeado a dos decimales.</t>
      </text>
    </comment>
    <comment authorId="0" ref="I427">
      <text>
        <t xml:space="preserve">Capital e interés pactados. La última cuota ajusta el saldo por redondeo.</t>
      </text>
    </comment>
    <comment authorId="0" ref="J427">
      <text>
        <t xml:space="preserve">Capital amortizado TEÓRICO = cuota base − interés, limitado al saldo.</t>
      </text>
    </comment>
    <comment authorId="0" ref="K427">
      <text>
        <t xml:space="preserve">Seguro y otros cargos fijos del mes.</t>
      </text>
    </comment>
    <comment authorId="0" ref="L427">
      <text>
        <t xml:space="preserve">Cuota base + cargos.</t>
      </text>
    </comment>
    <comment authorId="0" ref="M427">
      <text>
        <t xml:space="preserve">Capital final del calendario teórico. No equivale al saldo real si hay pagos parciales o atrasos.</t>
      </text>
    </comment>
    <comment authorId="0" ref="N427">
      <text>
        <t xml:space="preserve">Suma de pagos válidos del mismo ID y cuota con fecha igual o anterior al corte.</t>
      </text>
    </comment>
    <comment authorId="0" ref="O427">
      <text>
        <t xml:space="preserve">MIN(amortización pactada; MAX(0; pagado − cargos − interés)). No imputa excedentes a otras cuotas.</t>
      </text>
    </comment>
    <comment authorId="0" ref="P427">
      <text>
        <t xml:space="preserve">MAX(0; total pactado − pagado a esta cuota). Incluye capital, interés y cargos pendientes de ESA cuota.</t>
      </text>
    </comment>
    <comment authorId="0" ref="Q427">
      <text>
        <t xml:space="preserve">Días desde vencimiento hasta corte, solo si venció antes del corte y sigue con saldo.</t>
      </text>
    </comment>
    <comment authorId="0" ref="R427">
      <text>
        <t xml:space="preserve">MAX(0; pagado − cuota pactada). Exceso para revisar: no se traspasa a otra cuota.</t>
      </text>
    </comment>
    <comment authorId="0" ref="S427">
      <text>
        <t xml:space="preserve">Pagada, Vencida, Vence hoy, Por vencer o Exceso sin imputar según fecha y saldo al corte.</t>
      </text>
    </comment>
    <comment authorId="0" ref="T427">
      <text>
        <t xml:space="preserve">Auxiliar para encontrar la primera cuota pendiente. El 999999 indica que esta cuota no tiene saldo pendiente o está fuera del plazo, y no es una fecha real.</t>
      </text>
    </comment>
    <comment authorId="0" ref="C428">
      <text>
        <t xml:space="preserve">Crédito al que corresponde esta cuota.</t>
      </text>
    </comment>
    <comment authorId="0" ref="D428">
      <text>
        <t xml:space="preserve">Número de cuota dentro del crédito.</t>
      </text>
    </comment>
    <comment authorId="0" ref="E428">
      <text>
        <t xml:space="preserve">Fecha según EDATE a partir del primer vencimiento. No ajusta automáticamente feriados.</t>
      </text>
    </comment>
    <comment authorId="0" ref="F428">
      <text>
        <t xml:space="preserve">Capital al inicio del período en el calendario ORIGINAL, sin recalcular por pagos reales.</t>
      </text>
    </comment>
    <comment authorId="0" ref="G428">
      <text>
        <t xml:space="preserve">Tasa efectiva del mes según la base ingresada.</t>
      </text>
    </comment>
    <comment authorId="0" ref="H428">
      <text>
        <t xml:space="preserve">Interés del período = capital inicial × tasa mensual, redondeado a dos decimales.</t>
      </text>
    </comment>
    <comment authorId="0" ref="I428">
      <text>
        <t xml:space="preserve">Capital e interés pactados. La última cuota ajusta el saldo por redondeo.</t>
      </text>
    </comment>
    <comment authorId="0" ref="J428">
      <text>
        <t xml:space="preserve">Capital amortizado TEÓRICO = cuota base − interés, limitado al saldo.</t>
      </text>
    </comment>
    <comment authorId="0" ref="K428">
      <text>
        <t xml:space="preserve">Seguro y otros cargos fijos del mes.</t>
      </text>
    </comment>
    <comment authorId="0" ref="L428">
      <text>
        <t xml:space="preserve">Cuota base + cargos.</t>
      </text>
    </comment>
    <comment authorId="0" ref="M428">
      <text>
        <t xml:space="preserve">Capital final del calendario teórico. No equivale al saldo real si hay pagos parciales o atrasos.</t>
      </text>
    </comment>
    <comment authorId="0" ref="N428">
      <text>
        <t xml:space="preserve">Suma de pagos válidos del mismo ID y cuota con fecha igual o anterior al corte.</t>
      </text>
    </comment>
    <comment authorId="0" ref="O428">
      <text>
        <t xml:space="preserve">MIN(amortización pactada; MAX(0; pagado − cargos − interés)). No imputa excedentes a otras cuotas.</t>
      </text>
    </comment>
    <comment authorId="0" ref="P428">
      <text>
        <t xml:space="preserve">MAX(0; total pactado − pagado a esta cuota). Incluye capital, interés y cargos pendientes de ESA cuota.</t>
      </text>
    </comment>
    <comment authorId="0" ref="Q428">
      <text>
        <t xml:space="preserve">Días desde vencimiento hasta corte, solo si venció antes del corte y sigue con saldo.</t>
      </text>
    </comment>
    <comment authorId="0" ref="R428">
      <text>
        <t xml:space="preserve">MAX(0; pagado − cuota pactada). Exceso para revisar: no se traspasa a otra cuota.</t>
      </text>
    </comment>
    <comment authorId="0" ref="S428">
      <text>
        <t xml:space="preserve">Pagada, Vencida, Vence hoy, Por vencer o Exceso sin imputar según fecha y saldo al corte.</t>
      </text>
    </comment>
    <comment authorId="0" ref="T428">
      <text>
        <t xml:space="preserve">Auxiliar para encontrar la primera cuota pendiente. El 999999 indica que esta cuota no tiene saldo pendiente o está fuera del plazo, y no es una fecha real.</t>
      </text>
    </comment>
    <comment authorId="0" ref="C429">
      <text>
        <t xml:space="preserve">Crédito al que corresponde esta cuota.</t>
      </text>
    </comment>
    <comment authorId="0" ref="D429">
      <text>
        <t xml:space="preserve">Número de cuota dentro del crédito.</t>
      </text>
    </comment>
    <comment authorId="0" ref="E429">
      <text>
        <t xml:space="preserve">Fecha según EDATE a partir del primer vencimiento. No ajusta automáticamente feriados.</t>
      </text>
    </comment>
    <comment authorId="0" ref="F429">
      <text>
        <t xml:space="preserve">Capital al inicio del período en el calendario ORIGINAL, sin recalcular por pagos reales.</t>
      </text>
    </comment>
    <comment authorId="0" ref="G429">
      <text>
        <t xml:space="preserve">Tasa efectiva del mes según la base ingresada.</t>
      </text>
    </comment>
    <comment authorId="0" ref="H429">
      <text>
        <t xml:space="preserve">Interés del período = capital inicial × tasa mensual, redondeado a dos decimales.</t>
      </text>
    </comment>
    <comment authorId="0" ref="I429">
      <text>
        <t xml:space="preserve">Capital e interés pactados. La última cuota ajusta el saldo por redondeo.</t>
      </text>
    </comment>
    <comment authorId="0" ref="J429">
      <text>
        <t xml:space="preserve">Capital amortizado TEÓRICO = cuota base − interés, limitado al saldo.</t>
      </text>
    </comment>
    <comment authorId="0" ref="K429">
      <text>
        <t xml:space="preserve">Seguro y otros cargos fijos del mes.</t>
      </text>
    </comment>
    <comment authorId="0" ref="L429">
      <text>
        <t xml:space="preserve">Cuota base + cargos.</t>
      </text>
    </comment>
    <comment authorId="0" ref="M429">
      <text>
        <t xml:space="preserve">Capital final del calendario teórico. No equivale al saldo real si hay pagos parciales o atrasos.</t>
      </text>
    </comment>
    <comment authorId="0" ref="N429">
      <text>
        <t xml:space="preserve">Suma de pagos válidos del mismo ID y cuota con fecha igual o anterior al corte.</t>
      </text>
    </comment>
    <comment authorId="0" ref="O429">
      <text>
        <t xml:space="preserve">MIN(amortización pactada; MAX(0; pagado − cargos − interés)). No imputa excedentes a otras cuotas.</t>
      </text>
    </comment>
    <comment authorId="0" ref="P429">
      <text>
        <t xml:space="preserve">MAX(0; total pactado − pagado a esta cuota). Incluye capital, interés y cargos pendientes de ESA cuota.</t>
      </text>
    </comment>
    <comment authorId="0" ref="Q429">
      <text>
        <t xml:space="preserve">Días desde vencimiento hasta corte, solo si venció antes del corte y sigue con saldo.</t>
      </text>
    </comment>
    <comment authorId="0" ref="R429">
      <text>
        <t xml:space="preserve">MAX(0; pagado − cuota pactada). Exceso para revisar: no se traspasa a otra cuota.</t>
      </text>
    </comment>
    <comment authorId="0" ref="S429">
      <text>
        <t xml:space="preserve">Pagada, Vencida, Vence hoy, Por vencer o Exceso sin imputar según fecha y saldo al corte.</t>
      </text>
    </comment>
    <comment authorId="0" ref="T429">
      <text>
        <t xml:space="preserve">Auxiliar para encontrar la primera cuota pendiente. El 999999 indica que esta cuota no tiene saldo pendiente o está fuera del plazo, y no es una fecha real.</t>
      </text>
    </comment>
    <comment authorId="0" ref="C430">
      <text>
        <t xml:space="preserve">Crédito al que corresponde esta cuota.</t>
      </text>
    </comment>
    <comment authorId="0" ref="D430">
      <text>
        <t xml:space="preserve">Número de cuota dentro del crédito.</t>
      </text>
    </comment>
    <comment authorId="0" ref="E430">
      <text>
        <t xml:space="preserve">Fecha según EDATE a partir del primer vencimiento. No ajusta automáticamente feriados.</t>
      </text>
    </comment>
    <comment authorId="0" ref="F430">
      <text>
        <t xml:space="preserve">Capital al inicio del período en el calendario ORIGINAL, sin recalcular por pagos reales.</t>
      </text>
    </comment>
    <comment authorId="0" ref="G430">
      <text>
        <t xml:space="preserve">Tasa efectiva del mes según la base ingresada.</t>
      </text>
    </comment>
    <comment authorId="0" ref="H430">
      <text>
        <t xml:space="preserve">Interés del período = capital inicial × tasa mensual, redondeado a dos decimales.</t>
      </text>
    </comment>
    <comment authorId="0" ref="I430">
      <text>
        <t xml:space="preserve">Capital e interés pactados. La última cuota ajusta el saldo por redondeo.</t>
      </text>
    </comment>
    <comment authorId="0" ref="J430">
      <text>
        <t xml:space="preserve">Capital amortizado TEÓRICO = cuota base − interés, limitado al saldo.</t>
      </text>
    </comment>
    <comment authorId="0" ref="K430">
      <text>
        <t xml:space="preserve">Seguro y otros cargos fijos del mes.</t>
      </text>
    </comment>
    <comment authorId="0" ref="L430">
      <text>
        <t xml:space="preserve">Cuota base + cargos.</t>
      </text>
    </comment>
    <comment authorId="0" ref="M430">
      <text>
        <t xml:space="preserve">Capital final del calendario teórico. No equivale al saldo real si hay pagos parciales o atrasos.</t>
      </text>
    </comment>
    <comment authorId="0" ref="N430">
      <text>
        <t xml:space="preserve">Suma de pagos válidos del mismo ID y cuota con fecha igual o anterior al corte.</t>
      </text>
    </comment>
    <comment authorId="0" ref="O430">
      <text>
        <t xml:space="preserve">MIN(amortización pactada; MAX(0; pagado − cargos − interés)). No imputa excedentes a otras cuotas.</t>
      </text>
    </comment>
    <comment authorId="0" ref="P430">
      <text>
        <t xml:space="preserve">MAX(0; total pactado − pagado a esta cuota). Incluye capital, interés y cargos pendientes de ESA cuota.</t>
      </text>
    </comment>
    <comment authorId="0" ref="Q430">
      <text>
        <t xml:space="preserve">Días desde vencimiento hasta corte, solo si venció antes del corte y sigue con saldo.</t>
      </text>
    </comment>
    <comment authorId="0" ref="R430">
      <text>
        <t xml:space="preserve">MAX(0; pagado − cuota pactada). Exceso para revisar: no se traspasa a otra cuota.</t>
      </text>
    </comment>
    <comment authorId="0" ref="S430">
      <text>
        <t xml:space="preserve">Pagada, Vencida, Vence hoy, Por vencer o Exceso sin imputar según fecha y saldo al corte.</t>
      </text>
    </comment>
    <comment authorId="0" ref="T430">
      <text>
        <t xml:space="preserve">Auxiliar para encontrar la primera cuota pendiente. El 999999 indica que esta cuota no tiene saldo pendiente o está fuera del plazo, y no es una fecha real.</t>
      </text>
    </comment>
    <comment authorId="0" ref="C431">
      <text>
        <t xml:space="preserve">Crédito al que corresponde esta cuota.</t>
      </text>
    </comment>
    <comment authorId="0" ref="D431">
      <text>
        <t xml:space="preserve">Número de cuota dentro del crédito.</t>
      </text>
    </comment>
    <comment authorId="0" ref="E431">
      <text>
        <t xml:space="preserve">Fecha según EDATE a partir del primer vencimiento. No ajusta automáticamente feriados.</t>
      </text>
    </comment>
    <comment authorId="0" ref="F431">
      <text>
        <t xml:space="preserve">Capital al inicio del período en el calendario ORIGINAL, sin recalcular por pagos reales.</t>
      </text>
    </comment>
    <comment authorId="0" ref="G431">
      <text>
        <t xml:space="preserve">Tasa efectiva del mes según la base ingresada.</t>
      </text>
    </comment>
    <comment authorId="0" ref="H431">
      <text>
        <t xml:space="preserve">Interés del período = capital inicial × tasa mensual, redondeado a dos decimales.</t>
      </text>
    </comment>
    <comment authorId="0" ref="I431">
      <text>
        <t xml:space="preserve">Capital e interés pactados. La última cuota ajusta el saldo por redondeo.</t>
      </text>
    </comment>
    <comment authorId="0" ref="J431">
      <text>
        <t xml:space="preserve">Capital amortizado TEÓRICO = cuota base − interés, limitado al saldo.</t>
      </text>
    </comment>
    <comment authorId="0" ref="K431">
      <text>
        <t xml:space="preserve">Seguro y otros cargos fijos del mes.</t>
      </text>
    </comment>
    <comment authorId="0" ref="L431">
      <text>
        <t xml:space="preserve">Cuota base + cargos.</t>
      </text>
    </comment>
    <comment authorId="0" ref="M431">
      <text>
        <t xml:space="preserve">Capital final del calendario teórico. No equivale al saldo real si hay pagos parciales o atrasos.</t>
      </text>
    </comment>
    <comment authorId="0" ref="N431">
      <text>
        <t xml:space="preserve">Suma de pagos válidos del mismo ID y cuota con fecha igual o anterior al corte.</t>
      </text>
    </comment>
    <comment authorId="0" ref="O431">
      <text>
        <t xml:space="preserve">MIN(amortización pactada; MAX(0; pagado − cargos − interés)). No imputa excedentes a otras cuotas.</t>
      </text>
    </comment>
    <comment authorId="0" ref="P431">
      <text>
        <t xml:space="preserve">MAX(0; total pactado − pagado a esta cuota). Incluye capital, interés y cargos pendientes de ESA cuota.</t>
      </text>
    </comment>
    <comment authorId="0" ref="Q431">
      <text>
        <t xml:space="preserve">Días desde vencimiento hasta corte, solo si venció antes del corte y sigue con saldo.</t>
      </text>
    </comment>
    <comment authorId="0" ref="R431">
      <text>
        <t xml:space="preserve">MAX(0; pagado − cuota pactada). Exceso para revisar: no se traspasa a otra cuota.</t>
      </text>
    </comment>
    <comment authorId="0" ref="S431">
      <text>
        <t xml:space="preserve">Pagada, Vencida, Vence hoy, Por vencer o Exceso sin imputar según fecha y saldo al corte.</t>
      </text>
    </comment>
    <comment authorId="0" ref="T431">
      <text>
        <t xml:space="preserve">Auxiliar para encontrar la primera cuota pendiente. El 999999 indica que esta cuota no tiene saldo pendiente o está fuera del plazo, y no es una fecha real.</t>
      </text>
    </comment>
    <comment authorId="0" ref="C432">
      <text>
        <t xml:space="preserve">Crédito al que corresponde esta cuota.</t>
      </text>
    </comment>
    <comment authorId="0" ref="D432">
      <text>
        <t xml:space="preserve">Número de cuota dentro del crédito.</t>
      </text>
    </comment>
    <comment authorId="0" ref="E432">
      <text>
        <t xml:space="preserve">Fecha según EDATE a partir del primer vencimiento. No ajusta automáticamente feriados.</t>
      </text>
    </comment>
    <comment authorId="0" ref="F432">
      <text>
        <t xml:space="preserve">Capital al inicio del período en el calendario ORIGINAL, sin recalcular por pagos reales.</t>
      </text>
    </comment>
    <comment authorId="0" ref="G432">
      <text>
        <t xml:space="preserve">Tasa efectiva del mes según la base ingresada.</t>
      </text>
    </comment>
    <comment authorId="0" ref="H432">
      <text>
        <t xml:space="preserve">Interés del período = capital inicial × tasa mensual, redondeado a dos decimales.</t>
      </text>
    </comment>
    <comment authorId="0" ref="I432">
      <text>
        <t xml:space="preserve">Capital e interés pactados. La última cuota ajusta el saldo por redondeo.</t>
      </text>
    </comment>
    <comment authorId="0" ref="J432">
      <text>
        <t xml:space="preserve">Capital amortizado TEÓRICO = cuota base − interés, limitado al saldo.</t>
      </text>
    </comment>
    <comment authorId="0" ref="K432">
      <text>
        <t xml:space="preserve">Seguro y otros cargos fijos del mes.</t>
      </text>
    </comment>
    <comment authorId="0" ref="L432">
      <text>
        <t xml:space="preserve">Cuota base + cargos.</t>
      </text>
    </comment>
    <comment authorId="0" ref="M432">
      <text>
        <t xml:space="preserve">Capital final del calendario teórico. No equivale al saldo real si hay pagos parciales o atrasos.</t>
      </text>
    </comment>
    <comment authorId="0" ref="N432">
      <text>
        <t xml:space="preserve">Suma de pagos válidos del mismo ID y cuota con fecha igual o anterior al corte.</t>
      </text>
    </comment>
    <comment authorId="0" ref="O432">
      <text>
        <t xml:space="preserve">MIN(amortización pactada; MAX(0; pagado − cargos − interés)). No imputa excedentes a otras cuotas.</t>
      </text>
    </comment>
    <comment authorId="0" ref="P432">
      <text>
        <t xml:space="preserve">MAX(0; total pactado − pagado a esta cuota). Incluye capital, interés y cargos pendientes de ESA cuota.</t>
      </text>
    </comment>
    <comment authorId="0" ref="Q432">
      <text>
        <t xml:space="preserve">Días desde vencimiento hasta corte, solo si venció antes del corte y sigue con saldo.</t>
      </text>
    </comment>
    <comment authorId="0" ref="R432">
      <text>
        <t xml:space="preserve">MAX(0; pagado − cuota pactada). Exceso para revisar: no se traspasa a otra cuota.</t>
      </text>
    </comment>
    <comment authorId="0" ref="S432">
      <text>
        <t xml:space="preserve">Pagada, Vencida, Vence hoy, Por vencer o Exceso sin imputar según fecha y saldo al corte.</t>
      </text>
    </comment>
    <comment authorId="0" ref="T432">
      <text>
        <t xml:space="preserve">Auxiliar para encontrar la primera cuota pendiente. El 999999 indica que esta cuota no tiene saldo pendiente o está fuera del plazo, y no es una fecha real.</t>
      </text>
    </comment>
    <comment authorId="0" ref="C433">
      <text>
        <t xml:space="preserve">Crédito al que corresponde esta cuota.</t>
      </text>
    </comment>
    <comment authorId="0" ref="D433">
      <text>
        <t xml:space="preserve">Número de cuota dentro del crédito.</t>
      </text>
    </comment>
    <comment authorId="0" ref="E433">
      <text>
        <t xml:space="preserve">Fecha según EDATE a partir del primer vencimiento. No ajusta automáticamente feriados.</t>
      </text>
    </comment>
    <comment authorId="0" ref="F433">
      <text>
        <t xml:space="preserve">Capital al inicio del período en el calendario ORIGINAL, sin recalcular por pagos reales.</t>
      </text>
    </comment>
    <comment authorId="0" ref="G433">
      <text>
        <t xml:space="preserve">Tasa efectiva del mes según la base ingresada.</t>
      </text>
    </comment>
    <comment authorId="0" ref="H433">
      <text>
        <t xml:space="preserve">Interés del período = capital inicial × tasa mensual, redondeado a dos decimales.</t>
      </text>
    </comment>
    <comment authorId="0" ref="I433">
      <text>
        <t xml:space="preserve">Capital e interés pactados. La última cuota ajusta el saldo por redondeo.</t>
      </text>
    </comment>
    <comment authorId="0" ref="J433">
      <text>
        <t xml:space="preserve">Capital amortizado TEÓRICO = cuota base − interés, limitado al saldo.</t>
      </text>
    </comment>
    <comment authorId="0" ref="K433">
      <text>
        <t xml:space="preserve">Seguro y otros cargos fijos del mes.</t>
      </text>
    </comment>
    <comment authorId="0" ref="L433">
      <text>
        <t xml:space="preserve">Cuota base + cargos.</t>
      </text>
    </comment>
    <comment authorId="0" ref="M433">
      <text>
        <t xml:space="preserve">Capital final del calendario teórico. No equivale al saldo real si hay pagos parciales o atrasos.</t>
      </text>
    </comment>
    <comment authorId="0" ref="N433">
      <text>
        <t xml:space="preserve">Suma de pagos válidos del mismo ID y cuota con fecha igual o anterior al corte.</t>
      </text>
    </comment>
    <comment authorId="0" ref="O433">
      <text>
        <t xml:space="preserve">MIN(amortización pactada; MAX(0; pagado − cargos − interés)). No imputa excedentes a otras cuotas.</t>
      </text>
    </comment>
    <comment authorId="0" ref="P433">
      <text>
        <t xml:space="preserve">MAX(0; total pactado − pagado a esta cuota). Incluye capital, interés y cargos pendientes de ESA cuota.</t>
      </text>
    </comment>
    <comment authorId="0" ref="Q433">
      <text>
        <t xml:space="preserve">Días desde vencimiento hasta corte, solo si venció antes del corte y sigue con saldo.</t>
      </text>
    </comment>
    <comment authorId="0" ref="R433">
      <text>
        <t xml:space="preserve">MAX(0; pagado − cuota pactada). Exceso para revisar: no se traspasa a otra cuota.</t>
      </text>
    </comment>
    <comment authorId="0" ref="S433">
      <text>
        <t xml:space="preserve">Pagada, Vencida, Vence hoy, Por vencer o Exceso sin imputar según fecha y saldo al corte.</t>
      </text>
    </comment>
    <comment authorId="0" ref="T433">
      <text>
        <t xml:space="preserve">Auxiliar para encontrar la primera cuota pendiente. El 999999 indica que esta cuota no tiene saldo pendiente o está fuera del plazo, y no es una fecha real.</t>
      </text>
    </comment>
    <comment authorId="0" ref="C434">
      <text>
        <t xml:space="preserve">Crédito al que corresponde esta cuota.</t>
      </text>
    </comment>
    <comment authorId="0" ref="D434">
      <text>
        <t xml:space="preserve">Número de cuota dentro del crédito.</t>
      </text>
    </comment>
    <comment authorId="0" ref="E434">
      <text>
        <t xml:space="preserve">Fecha según EDATE a partir del primer vencimiento. No ajusta automáticamente feriados.</t>
      </text>
    </comment>
    <comment authorId="0" ref="F434">
      <text>
        <t xml:space="preserve">Capital al inicio del período en el calendario ORIGINAL, sin recalcular por pagos reales.</t>
      </text>
    </comment>
    <comment authorId="0" ref="G434">
      <text>
        <t xml:space="preserve">Tasa efectiva del mes según la base ingresada.</t>
      </text>
    </comment>
    <comment authorId="0" ref="H434">
      <text>
        <t xml:space="preserve">Interés del período = capital inicial × tasa mensual, redondeado a dos decimales.</t>
      </text>
    </comment>
    <comment authorId="0" ref="I434">
      <text>
        <t xml:space="preserve">Capital e interés pactados. La última cuota ajusta el saldo por redondeo.</t>
      </text>
    </comment>
    <comment authorId="0" ref="J434">
      <text>
        <t xml:space="preserve">Capital amortizado TEÓRICO = cuota base − interés, limitado al saldo.</t>
      </text>
    </comment>
    <comment authorId="0" ref="K434">
      <text>
        <t xml:space="preserve">Seguro y otros cargos fijos del mes.</t>
      </text>
    </comment>
    <comment authorId="0" ref="L434">
      <text>
        <t xml:space="preserve">Cuota base + cargos.</t>
      </text>
    </comment>
    <comment authorId="0" ref="M434">
      <text>
        <t xml:space="preserve">Capital final del calendario teórico. No equivale al saldo real si hay pagos parciales o atrasos.</t>
      </text>
    </comment>
    <comment authorId="0" ref="N434">
      <text>
        <t xml:space="preserve">Suma de pagos válidos del mismo ID y cuota con fecha igual o anterior al corte.</t>
      </text>
    </comment>
    <comment authorId="0" ref="O434">
      <text>
        <t xml:space="preserve">MIN(amortización pactada; MAX(0; pagado − cargos − interés)). No imputa excedentes a otras cuotas.</t>
      </text>
    </comment>
    <comment authorId="0" ref="P434">
      <text>
        <t xml:space="preserve">MAX(0; total pactado − pagado a esta cuota). Incluye capital, interés y cargos pendientes de ESA cuota.</t>
      </text>
    </comment>
    <comment authorId="0" ref="Q434">
      <text>
        <t xml:space="preserve">Días desde vencimiento hasta corte, solo si venció antes del corte y sigue con saldo.</t>
      </text>
    </comment>
    <comment authorId="0" ref="R434">
      <text>
        <t xml:space="preserve">MAX(0; pagado − cuota pactada). Exceso para revisar: no se traspasa a otra cuota.</t>
      </text>
    </comment>
    <comment authorId="0" ref="S434">
      <text>
        <t xml:space="preserve">Pagada, Vencida, Vence hoy, Por vencer o Exceso sin imputar según fecha y saldo al corte.</t>
      </text>
    </comment>
    <comment authorId="0" ref="T434">
      <text>
        <t xml:space="preserve">Auxiliar para encontrar la primera cuota pendiente. El 999999 indica que esta cuota no tiene saldo pendiente o está fuera del plazo, y no es una fecha real.</t>
      </text>
    </comment>
    <comment authorId="0" ref="C435">
      <text>
        <t xml:space="preserve">Crédito al que corresponde esta cuota.</t>
      </text>
    </comment>
    <comment authorId="0" ref="D435">
      <text>
        <t xml:space="preserve">Número de cuota dentro del crédito.</t>
      </text>
    </comment>
    <comment authorId="0" ref="E435">
      <text>
        <t xml:space="preserve">Fecha según EDATE a partir del primer vencimiento. No ajusta automáticamente feriados.</t>
      </text>
    </comment>
    <comment authorId="0" ref="F435">
      <text>
        <t xml:space="preserve">Capital al inicio del período en el calendario ORIGINAL, sin recalcular por pagos reales.</t>
      </text>
    </comment>
    <comment authorId="0" ref="G435">
      <text>
        <t xml:space="preserve">Tasa efectiva del mes según la base ingresada.</t>
      </text>
    </comment>
    <comment authorId="0" ref="H435">
      <text>
        <t xml:space="preserve">Interés del período = capital inicial × tasa mensual, redondeado a dos decimales.</t>
      </text>
    </comment>
    <comment authorId="0" ref="I435">
      <text>
        <t xml:space="preserve">Capital e interés pactados. La última cuota ajusta el saldo por redondeo.</t>
      </text>
    </comment>
    <comment authorId="0" ref="J435">
      <text>
        <t xml:space="preserve">Capital amortizado TEÓRICO = cuota base − interés, limitado al saldo.</t>
      </text>
    </comment>
    <comment authorId="0" ref="K435">
      <text>
        <t xml:space="preserve">Seguro y otros cargos fijos del mes.</t>
      </text>
    </comment>
    <comment authorId="0" ref="L435">
      <text>
        <t xml:space="preserve">Cuota base + cargos.</t>
      </text>
    </comment>
    <comment authorId="0" ref="M435">
      <text>
        <t xml:space="preserve">Capital final del calendario teórico. No equivale al saldo real si hay pagos parciales o atrasos.</t>
      </text>
    </comment>
    <comment authorId="0" ref="N435">
      <text>
        <t xml:space="preserve">Suma de pagos válidos del mismo ID y cuota con fecha igual o anterior al corte.</t>
      </text>
    </comment>
    <comment authorId="0" ref="O435">
      <text>
        <t xml:space="preserve">MIN(amortización pactada; MAX(0; pagado − cargos − interés)). No imputa excedentes a otras cuotas.</t>
      </text>
    </comment>
    <comment authorId="0" ref="P435">
      <text>
        <t xml:space="preserve">MAX(0; total pactado − pagado a esta cuota). Incluye capital, interés y cargos pendientes de ESA cuota.</t>
      </text>
    </comment>
    <comment authorId="0" ref="Q435">
      <text>
        <t xml:space="preserve">Días desde vencimiento hasta corte, solo si venció antes del corte y sigue con saldo.</t>
      </text>
    </comment>
    <comment authorId="0" ref="R435">
      <text>
        <t xml:space="preserve">MAX(0; pagado − cuota pactada). Exceso para revisar: no se traspasa a otra cuota.</t>
      </text>
    </comment>
    <comment authorId="0" ref="S435">
      <text>
        <t xml:space="preserve">Pagada, Vencida, Vence hoy, Por vencer o Exceso sin imputar según fecha y saldo al corte.</t>
      </text>
    </comment>
    <comment authorId="0" ref="T435">
      <text>
        <t xml:space="preserve">Auxiliar para encontrar la primera cuota pendiente. El 999999 indica que esta cuota no tiene saldo pendiente o está fuera del plazo, y no es una fecha real.</t>
      </text>
    </comment>
    <comment authorId="0" ref="C436">
      <text>
        <t xml:space="preserve">Crédito al que corresponde esta cuota.</t>
      </text>
    </comment>
    <comment authorId="0" ref="D436">
      <text>
        <t xml:space="preserve">Número de cuota dentro del crédito.</t>
      </text>
    </comment>
    <comment authorId="0" ref="E436">
      <text>
        <t xml:space="preserve">Fecha según EDATE a partir del primer vencimiento. No ajusta automáticamente feriados.</t>
      </text>
    </comment>
    <comment authorId="0" ref="F436">
      <text>
        <t xml:space="preserve">Capital al inicio del período en el calendario ORIGINAL, sin recalcular por pagos reales.</t>
      </text>
    </comment>
    <comment authorId="0" ref="G436">
      <text>
        <t xml:space="preserve">Tasa efectiva del mes según la base ingresada.</t>
      </text>
    </comment>
    <comment authorId="0" ref="H436">
      <text>
        <t xml:space="preserve">Interés del período = capital inicial × tasa mensual, redondeado a dos decimales.</t>
      </text>
    </comment>
    <comment authorId="0" ref="I436">
      <text>
        <t xml:space="preserve">Capital e interés pactados. La última cuota ajusta el saldo por redondeo.</t>
      </text>
    </comment>
    <comment authorId="0" ref="J436">
      <text>
        <t xml:space="preserve">Capital amortizado TEÓRICO = cuota base − interés, limitado al saldo.</t>
      </text>
    </comment>
    <comment authorId="0" ref="K436">
      <text>
        <t xml:space="preserve">Seguro y otros cargos fijos del mes.</t>
      </text>
    </comment>
    <comment authorId="0" ref="L436">
      <text>
        <t xml:space="preserve">Cuota base + cargos.</t>
      </text>
    </comment>
    <comment authorId="0" ref="M436">
      <text>
        <t xml:space="preserve">Capital final del calendario teórico. No equivale al saldo real si hay pagos parciales o atrasos.</t>
      </text>
    </comment>
    <comment authorId="0" ref="N436">
      <text>
        <t xml:space="preserve">Suma de pagos válidos del mismo ID y cuota con fecha igual o anterior al corte.</t>
      </text>
    </comment>
    <comment authorId="0" ref="O436">
      <text>
        <t xml:space="preserve">MIN(amortización pactada; MAX(0; pagado − cargos − interés)). No imputa excedentes a otras cuotas.</t>
      </text>
    </comment>
    <comment authorId="0" ref="P436">
      <text>
        <t xml:space="preserve">MAX(0; total pactado − pagado a esta cuota). Incluye capital, interés y cargos pendientes de ESA cuota.</t>
      </text>
    </comment>
    <comment authorId="0" ref="Q436">
      <text>
        <t xml:space="preserve">Días desde vencimiento hasta corte, solo si venció antes del corte y sigue con saldo.</t>
      </text>
    </comment>
    <comment authorId="0" ref="R436">
      <text>
        <t xml:space="preserve">MAX(0; pagado − cuota pactada). Exceso para revisar: no se traspasa a otra cuota.</t>
      </text>
    </comment>
    <comment authorId="0" ref="S436">
      <text>
        <t xml:space="preserve">Pagada, Vencida, Vence hoy, Por vencer o Exceso sin imputar según fecha y saldo al corte.</t>
      </text>
    </comment>
    <comment authorId="0" ref="T436">
      <text>
        <t xml:space="preserve">Auxiliar para encontrar la primera cuota pendiente. El 999999 indica que esta cuota no tiene saldo pendiente o está fuera del plazo, y no es una fecha real.</t>
      </text>
    </comment>
    <comment authorId="0" ref="C437">
      <text>
        <t xml:space="preserve">Crédito al que corresponde esta cuota.</t>
      </text>
    </comment>
    <comment authorId="0" ref="D437">
      <text>
        <t xml:space="preserve">Número de cuota dentro del crédito.</t>
      </text>
    </comment>
    <comment authorId="0" ref="E437">
      <text>
        <t xml:space="preserve">Fecha según EDATE a partir del primer vencimiento. No ajusta automáticamente feriados.</t>
      </text>
    </comment>
    <comment authorId="0" ref="F437">
      <text>
        <t xml:space="preserve">Capital al inicio del período en el calendario ORIGINAL, sin recalcular por pagos reales.</t>
      </text>
    </comment>
    <comment authorId="0" ref="G437">
      <text>
        <t xml:space="preserve">Tasa efectiva del mes según la base ingresada.</t>
      </text>
    </comment>
    <comment authorId="0" ref="H437">
      <text>
        <t xml:space="preserve">Interés del período = capital inicial × tasa mensual, redondeado a dos decimales.</t>
      </text>
    </comment>
    <comment authorId="0" ref="I437">
      <text>
        <t xml:space="preserve">Capital e interés pactados. La última cuota ajusta el saldo por redondeo.</t>
      </text>
    </comment>
    <comment authorId="0" ref="J437">
      <text>
        <t xml:space="preserve">Capital amortizado TEÓRICO = cuota base − interés, limitado al saldo.</t>
      </text>
    </comment>
    <comment authorId="0" ref="K437">
      <text>
        <t xml:space="preserve">Seguro y otros cargos fijos del mes.</t>
      </text>
    </comment>
    <comment authorId="0" ref="L437">
      <text>
        <t xml:space="preserve">Cuota base + cargos.</t>
      </text>
    </comment>
    <comment authorId="0" ref="M437">
      <text>
        <t xml:space="preserve">Capital final del calendario teórico. No equivale al saldo real si hay pagos parciales o atrasos.</t>
      </text>
    </comment>
    <comment authorId="0" ref="N437">
      <text>
        <t xml:space="preserve">Suma de pagos válidos del mismo ID y cuota con fecha igual o anterior al corte.</t>
      </text>
    </comment>
    <comment authorId="0" ref="O437">
      <text>
        <t xml:space="preserve">MIN(amortización pactada; MAX(0; pagado − cargos − interés)). No imputa excedentes a otras cuotas.</t>
      </text>
    </comment>
    <comment authorId="0" ref="P437">
      <text>
        <t xml:space="preserve">MAX(0; total pactado − pagado a esta cuota). Incluye capital, interés y cargos pendientes de ESA cuota.</t>
      </text>
    </comment>
    <comment authorId="0" ref="Q437">
      <text>
        <t xml:space="preserve">Días desde vencimiento hasta corte, solo si venció antes del corte y sigue con saldo.</t>
      </text>
    </comment>
    <comment authorId="0" ref="R437">
      <text>
        <t xml:space="preserve">MAX(0; pagado − cuota pactada). Exceso para revisar: no se traspasa a otra cuota.</t>
      </text>
    </comment>
    <comment authorId="0" ref="S437">
      <text>
        <t xml:space="preserve">Pagada, Vencida, Vence hoy, Por vencer o Exceso sin imputar según fecha y saldo al corte.</t>
      </text>
    </comment>
    <comment authorId="0" ref="T437">
      <text>
        <t xml:space="preserve">Auxiliar para encontrar la primera cuota pendiente. El 999999 indica que esta cuota no tiene saldo pendiente o está fuera del plazo, y no es una fecha real.</t>
      </text>
    </comment>
    <comment authorId="0" ref="C438">
      <text>
        <t xml:space="preserve">Crédito al que corresponde esta cuota.</t>
      </text>
    </comment>
    <comment authorId="0" ref="D438">
      <text>
        <t xml:space="preserve">Número de cuota dentro del crédito.</t>
      </text>
    </comment>
    <comment authorId="0" ref="E438">
      <text>
        <t xml:space="preserve">Fecha según EDATE a partir del primer vencimiento. No ajusta automáticamente feriados.</t>
      </text>
    </comment>
    <comment authorId="0" ref="F438">
      <text>
        <t xml:space="preserve">Capital al inicio del período en el calendario ORIGINAL, sin recalcular por pagos reales.</t>
      </text>
    </comment>
    <comment authorId="0" ref="G438">
      <text>
        <t xml:space="preserve">Tasa efectiva del mes según la base ingresada.</t>
      </text>
    </comment>
    <comment authorId="0" ref="H438">
      <text>
        <t xml:space="preserve">Interés del período = capital inicial × tasa mensual, redondeado a dos decimales.</t>
      </text>
    </comment>
    <comment authorId="0" ref="I438">
      <text>
        <t xml:space="preserve">Capital e interés pactados. La última cuota ajusta el saldo por redondeo.</t>
      </text>
    </comment>
    <comment authorId="0" ref="J438">
      <text>
        <t xml:space="preserve">Capital amortizado TEÓRICO = cuota base − interés, limitado al saldo.</t>
      </text>
    </comment>
    <comment authorId="0" ref="K438">
      <text>
        <t xml:space="preserve">Seguro y otros cargos fijos del mes.</t>
      </text>
    </comment>
    <comment authorId="0" ref="L438">
      <text>
        <t xml:space="preserve">Cuota base + cargos.</t>
      </text>
    </comment>
    <comment authorId="0" ref="M438">
      <text>
        <t xml:space="preserve">Capital final del calendario teórico. No equivale al saldo real si hay pagos parciales o atrasos.</t>
      </text>
    </comment>
    <comment authorId="0" ref="N438">
      <text>
        <t xml:space="preserve">Suma de pagos válidos del mismo ID y cuota con fecha igual o anterior al corte.</t>
      </text>
    </comment>
    <comment authorId="0" ref="O438">
      <text>
        <t xml:space="preserve">MIN(amortización pactada; MAX(0; pagado − cargos − interés)). No imputa excedentes a otras cuotas.</t>
      </text>
    </comment>
    <comment authorId="0" ref="P438">
      <text>
        <t xml:space="preserve">MAX(0; total pactado − pagado a esta cuota). Incluye capital, interés y cargos pendientes de ESA cuota.</t>
      </text>
    </comment>
    <comment authorId="0" ref="Q438">
      <text>
        <t xml:space="preserve">Días desde vencimiento hasta corte, solo si venció antes del corte y sigue con saldo.</t>
      </text>
    </comment>
    <comment authorId="0" ref="R438">
      <text>
        <t xml:space="preserve">MAX(0; pagado − cuota pactada). Exceso para revisar: no se traspasa a otra cuota.</t>
      </text>
    </comment>
    <comment authorId="0" ref="S438">
      <text>
        <t xml:space="preserve">Pagada, Vencida, Vence hoy, Por vencer o Exceso sin imputar según fecha y saldo al corte.</t>
      </text>
    </comment>
    <comment authorId="0" ref="T438">
      <text>
        <t xml:space="preserve">Auxiliar para encontrar la primera cuota pendiente. El 999999 indica que esta cuota no tiene saldo pendiente o está fuera del plazo, y no es una fecha real.</t>
      </text>
    </comment>
    <comment authorId="0" ref="C439">
      <text>
        <t xml:space="preserve">Crédito al que corresponde esta cuota.</t>
      </text>
    </comment>
    <comment authorId="0" ref="D439">
      <text>
        <t xml:space="preserve">Número de cuota dentro del crédito.</t>
      </text>
    </comment>
    <comment authorId="0" ref="E439">
      <text>
        <t xml:space="preserve">Fecha según EDATE a partir del primer vencimiento. No ajusta automáticamente feriados.</t>
      </text>
    </comment>
    <comment authorId="0" ref="F439">
      <text>
        <t xml:space="preserve">Capital al inicio del período en el calendario ORIGINAL, sin recalcular por pagos reales.</t>
      </text>
    </comment>
    <comment authorId="0" ref="G439">
      <text>
        <t xml:space="preserve">Tasa efectiva del mes según la base ingresada.</t>
      </text>
    </comment>
    <comment authorId="0" ref="H439">
      <text>
        <t xml:space="preserve">Interés del período = capital inicial × tasa mensual, redondeado a dos decimales.</t>
      </text>
    </comment>
    <comment authorId="0" ref="I439">
      <text>
        <t xml:space="preserve">Capital e interés pactados. La última cuota ajusta el saldo por redondeo.</t>
      </text>
    </comment>
    <comment authorId="0" ref="J439">
      <text>
        <t xml:space="preserve">Capital amortizado TEÓRICO = cuota base − interés, limitado al saldo.</t>
      </text>
    </comment>
    <comment authorId="0" ref="K439">
      <text>
        <t xml:space="preserve">Seguro y otros cargos fijos del mes.</t>
      </text>
    </comment>
    <comment authorId="0" ref="L439">
      <text>
        <t xml:space="preserve">Cuota base + cargos.</t>
      </text>
    </comment>
    <comment authorId="0" ref="M439">
      <text>
        <t xml:space="preserve">Capital final del calendario teórico. No equivale al saldo real si hay pagos parciales o atrasos.</t>
      </text>
    </comment>
    <comment authorId="0" ref="N439">
      <text>
        <t xml:space="preserve">Suma de pagos válidos del mismo ID y cuota con fecha igual o anterior al corte.</t>
      </text>
    </comment>
    <comment authorId="0" ref="O439">
      <text>
        <t xml:space="preserve">MIN(amortización pactada; MAX(0; pagado − cargos − interés)). No imputa excedentes a otras cuotas.</t>
      </text>
    </comment>
    <comment authorId="0" ref="P439">
      <text>
        <t xml:space="preserve">MAX(0; total pactado − pagado a esta cuota). Incluye capital, interés y cargos pendientes de ESA cuota.</t>
      </text>
    </comment>
    <comment authorId="0" ref="Q439">
      <text>
        <t xml:space="preserve">Días desde vencimiento hasta corte, solo si venció antes del corte y sigue con saldo.</t>
      </text>
    </comment>
    <comment authorId="0" ref="R439">
      <text>
        <t xml:space="preserve">MAX(0; pagado − cuota pactada). Exceso para revisar: no se traspasa a otra cuota.</t>
      </text>
    </comment>
    <comment authorId="0" ref="S439">
      <text>
        <t xml:space="preserve">Pagada, Vencida, Vence hoy, Por vencer o Exceso sin imputar según fecha y saldo al corte.</t>
      </text>
    </comment>
    <comment authorId="0" ref="T439">
      <text>
        <t xml:space="preserve">Auxiliar para encontrar la primera cuota pendiente. El 999999 indica que esta cuota no tiene saldo pendiente o está fuera del plazo, y no es una fecha real.</t>
      </text>
    </comment>
    <comment authorId="0" ref="C440">
      <text>
        <t xml:space="preserve">Crédito al que corresponde esta cuota.</t>
      </text>
    </comment>
    <comment authorId="0" ref="D440">
      <text>
        <t xml:space="preserve">Número de cuota dentro del crédito.</t>
      </text>
    </comment>
    <comment authorId="0" ref="E440">
      <text>
        <t xml:space="preserve">Fecha según EDATE a partir del primer vencimiento. No ajusta automáticamente feriados.</t>
      </text>
    </comment>
    <comment authorId="0" ref="F440">
      <text>
        <t xml:space="preserve">Capital al inicio del período en el calendario ORIGINAL, sin recalcular por pagos reales.</t>
      </text>
    </comment>
    <comment authorId="0" ref="G440">
      <text>
        <t xml:space="preserve">Tasa efectiva del mes según la base ingresada.</t>
      </text>
    </comment>
    <comment authorId="0" ref="H440">
      <text>
        <t xml:space="preserve">Interés del período = capital inicial × tasa mensual, redondeado a dos decimales.</t>
      </text>
    </comment>
    <comment authorId="0" ref="I440">
      <text>
        <t xml:space="preserve">Capital e interés pactados. La última cuota ajusta el saldo por redondeo.</t>
      </text>
    </comment>
    <comment authorId="0" ref="J440">
      <text>
        <t xml:space="preserve">Capital amortizado TEÓRICO = cuota base − interés, limitado al saldo.</t>
      </text>
    </comment>
    <comment authorId="0" ref="K440">
      <text>
        <t xml:space="preserve">Seguro y otros cargos fijos del mes.</t>
      </text>
    </comment>
    <comment authorId="0" ref="L440">
      <text>
        <t xml:space="preserve">Cuota base + cargos.</t>
      </text>
    </comment>
    <comment authorId="0" ref="M440">
      <text>
        <t xml:space="preserve">Capital final del calendario teórico. No equivale al saldo real si hay pagos parciales o atrasos.</t>
      </text>
    </comment>
    <comment authorId="0" ref="N440">
      <text>
        <t xml:space="preserve">Suma de pagos válidos del mismo ID y cuota con fecha igual o anterior al corte.</t>
      </text>
    </comment>
    <comment authorId="0" ref="O440">
      <text>
        <t xml:space="preserve">MIN(amortización pactada; MAX(0; pagado − cargos − interés)). No imputa excedentes a otras cuotas.</t>
      </text>
    </comment>
    <comment authorId="0" ref="P440">
      <text>
        <t xml:space="preserve">MAX(0; total pactado − pagado a esta cuota). Incluye capital, interés y cargos pendientes de ESA cuota.</t>
      </text>
    </comment>
    <comment authorId="0" ref="Q440">
      <text>
        <t xml:space="preserve">Días desde vencimiento hasta corte, solo si venció antes del corte y sigue con saldo.</t>
      </text>
    </comment>
    <comment authorId="0" ref="R440">
      <text>
        <t xml:space="preserve">MAX(0; pagado − cuota pactada). Exceso para revisar: no se traspasa a otra cuota.</t>
      </text>
    </comment>
    <comment authorId="0" ref="S440">
      <text>
        <t xml:space="preserve">Pagada, Vencida, Vence hoy, Por vencer o Exceso sin imputar según fecha y saldo al corte.</t>
      </text>
    </comment>
    <comment authorId="0" ref="T440">
      <text>
        <t xml:space="preserve">Auxiliar para encontrar la primera cuota pendiente. El 999999 indica que esta cuota no tiene saldo pendiente o está fuera del plazo, y no es una fecha real.</t>
      </text>
    </comment>
    <comment authorId="0" ref="C441">
      <text>
        <t xml:space="preserve">Crédito al que corresponde esta cuota.</t>
      </text>
    </comment>
    <comment authorId="0" ref="D441">
      <text>
        <t xml:space="preserve">Número de cuota dentro del crédito.</t>
      </text>
    </comment>
    <comment authorId="0" ref="E441">
      <text>
        <t xml:space="preserve">Fecha según EDATE a partir del primer vencimiento. No ajusta automáticamente feriados.</t>
      </text>
    </comment>
    <comment authorId="0" ref="F441">
      <text>
        <t xml:space="preserve">Capital al inicio del período en el calendario ORIGINAL, sin recalcular por pagos reales.</t>
      </text>
    </comment>
    <comment authorId="0" ref="G441">
      <text>
        <t xml:space="preserve">Tasa efectiva del mes según la base ingresada.</t>
      </text>
    </comment>
    <comment authorId="0" ref="H441">
      <text>
        <t xml:space="preserve">Interés del período = capital inicial × tasa mensual, redondeado a dos decimales.</t>
      </text>
    </comment>
    <comment authorId="0" ref="I441">
      <text>
        <t xml:space="preserve">Capital e interés pactados. La última cuota ajusta el saldo por redondeo.</t>
      </text>
    </comment>
    <comment authorId="0" ref="J441">
      <text>
        <t xml:space="preserve">Capital amortizado TEÓRICO = cuota base − interés, limitado al saldo.</t>
      </text>
    </comment>
    <comment authorId="0" ref="K441">
      <text>
        <t xml:space="preserve">Seguro y otros cargos fijos del mes.</t>
      </text>
    </comment>
    <comment authorId="0" ref="L441">
      <text>
        <t xml:space="preserve">Cuota base + cargos.</t>
      </text>
    </comment>
    <comment authorId="0" ref="M441">
      <text>
        <t xml:space="preserve">Capital final del calendario teórico. No equivale al saldo real si hay pagos parciales o atrasos.</t>
      </text>
    </comment>
    <comment authorId="0" ref="N441">
      <text>
        <t xml:space="preserve">Suma de pagos válidos del mismo ID y cuota con fecha igual o anterior al corte.</t>
      </text>
    </comment>
    <comment authorId="0" ref="O441">
      <text>
        <t xml:space="preserve">MIN(amortización pactada; MAX(0; pagado − cargos − interés)). No imputa excedentes a otras cuotas.</t>
      </text>
    </comment>
    <comment authorId="0" ref="P441">
      <text>
        <t xml:space="preserve">MAX(0; total pactado − pagado a esta cuota). Incluye capital, interés y cargos pendientes de ESA cuota.</t>
      </text>
    </comment>
    <comment authorId="0" ref="Q441">
      <text>
        <t xml:space="preserve">Días desde vencimiento hasta corte, solo si venció antes del corte y sigue con saldo.</t>
      </text>
    </comment>
    <comment authorId="0" ref="R441">
      <text>
        <t xml:space="preserve">MAX(0; pagado − cuota pactada). Exceso para revisar: no se traspasa a otra cuota.</t>
      </text>
    </comment>
    <comment authorId="0" ref="S441">
      <text>
        <t xml:space="preserve">Pagada, Vencida, Vence hoy, Por vencer o Exceso sin imputar según fecha y saldo al corte.</t>
      </text>
    </comment>
    <comment authorId="0" ref="T441">
      <text>
        <t xml:space="preserve">Auxiliar para encontrar la primera cuota pendiente. El 999999 indica que esta cuota no tiene saldo pendiente o está fuera del plazo, y no es una fecha real.</t>
      </text>
    </comment>
    <comment authorId="0" ref="C442">
      <text>
        <t xml:space="preserve">Crédito al que corresponde esta cuota.</t>
      </text>
    </comment>
    <comment authorId="0" ref="D442">
      <text>
        <t xml:space="preserve">Número de cuota dentro del crédito.</t>
      </text>
    </comment>
    <comment authorId="0" ref="E442">
      <text>
        <t xml:space="preserve">Fecha según EDATE a partir del primer vencimiento. No ajusta automáticamente feriados.</t>
      </text>
    </comment>
    <comment authorId="0" ref="F442">
      <text>
        <t xml:space="preserve">Capital al inicio del período en el calendario ORIGINAL, sin recalcular por pagos reales.</t>
      </text>
    </comment>
    <comment authorId="0" ref="G442">
      <text>
        <t xml:space="preserve">Tasa efectiva del mes según la base ingresada.</t>
      </text>
    </comment>
    <comment authorId="0" ref="H442">
      <text>
        <t xml:space="preserve">Interés del período = capital inicial × tasa mensual, redondeado a dos decimales.</t>
      </text>
    </comment>
    <comment authorId="0" ref="I442">
      <text>
        <t xml:space="preserve">Capital e interés pactados. La última cuota ajusta el saldo por redondeo.</t>
      </text>
    </comment>
    <comment authorId="0" ref="J442">
      <text>
        <t xml:space="preserve">Capital amortizado TEÓRICO = cuota base − interés, limitado al saldo.</t>
      </text>
    </comment>
    <comment authorId="0" ref="K442">
      <text>
        <t xml:space="preserve">Seguro y otros cargos fijos del mes.</t>
      </text>
    </comment>
    <comment authorId="0" ref="L442">
      <text>
        <t xml:space="preserve">Cuota base + cargos.</t>
      </text>
    </comment>
    <comment authorId="0" ref="M442">
      <text>
        <t xml:space="preserve">Capital final del calendario teórico. No equivale al saldo real si hay pagos parciales o atrasos.</t>
      </text>
    </comment>
    <comment authorId="0" ref="N442">
      <text>
        <t xml:space="preserve">Suma de pagos válidos del mismo ID y cuota con fecha igual o anterior al corte.</t>
      </text>
    </comment>
    <comment authorId="0" ref="O442">
      <text>
        <t xml:space="preserve">MIN(amortización pactada; MAX(0; pagado − cargos − interés)). No imputa excedentes a otras cuotas.</t>
      </text>
    </comment>
    <comment authorId="0" ref="P442">
      <text>
        <t xml:space="preserve">MAX(0; total pactado − pagado a esta cuota). Incluye capital, interés y cargos pendientes de ESA cuota.</t>
      </text>
    </comment>
    <comment authorId="0" ref="Q442">
      <text>
        <t xml:space="preserve">Días desde vencimiento hasta corte, solo si venció antes del corte y sigue con saldo.</t>
      </text>
    </comment>
    <comment authorId="0" ref="R442">
      <text>
        <t xml:space="preserve">MAX(0; pagado − cuota pactada). Exceso para revisar: no se traspasa a otra cuota.</t>
      </text>
    </comment>
    <comment authorId="0" ref="S442">
      <text>
        <t xml:space="preserve">Pagada, Vencida, Vence hoy, Por vencer o Exceso sin imputar según fecha y saldo al corte.</t>
      </text>
    </comment>
    <comment authorId="0" ref="T442">
      <text>
        <t xml:space="preserve">Auxiliar para encontrar la primera cuota pendiente. El 999999 indica que esta cuota no tiene saldo pendiente o está fuera del plazo, y no es una fecha real.</t>
      </text>
    </comment>
    <comment authorId="0" ref="C443">
      <text>
        <t xml:space="preserve">Crédito al que corresponde esta cuota.</t>
      </text>
    </comment>
    <comment authorId="0" ref="D443">
      <text>
        <t xml:space="preserve">Número de cuota dentro del crédito.</t>
      </text>
    </comment>
    <comment authorId="0" ref="E443">
      <text>
        <t xml:space="preserve">Fecha según EDATE a partir del primer vencimiento. No ajusta automáticamente feriados.</t>
      </text>
    </comment>
    <comment authorId="0" ref="F443">
      <text>
        <t xml:space="preserve">Capital al inicio del período en el calendario ORIGINAL, sin recalcular por pagos reales.</t>
      </text>
    </comment>
    <comment authorId="0" ref="G443">
      <text>
        <t xml:space="preserve">Tasa efectiva del mes según la base ingresada.</t>
      </text>
    </comment>
    <comment authorId="0" ref="H443">
      <text>
        <t xml:space="preserve">Interés del período = capital inicial × tasa mensual, redondeado a dos decimales.</t>
      </text>
    </comment>
    <comment authorId="0" ref="I443">
      <text>
        <t xml:space="preserve">Capital e interés pactados. La última cuota ajusta el saldo por redondeo.</t>
      </text>
    </comment>
    <comment authorId="0" ref="J443">
      <text>
        <t xml:space="preserve">Capital amortizado TEÓRICO = cuota base − interés, limitado al saldo.</t>
      </text>
    </comment>
    <comment authorId="0" ref="K443">
      <text>
        <t xml:space="preserve">Seguro y otros cargos fijos del mes.</t>
      </text>
    </comment>
    <comment authorId="0" ref="L443">
      <text>
        <t xml:space="preserve">Cuota base + cargos.</t>
      </text>
    </comment>
    <comment authorId="0" ref="M443">
      <text>
        <t xml:space="preserve">Capital final del calendario teórico. No equivale al saldo real si hay pagos parciales o atrasos.</t>
      </text>
    </comment>
    <comment authorId="0" ref="N443">
      <text>
        <t xml:space="preserve">Suma de pagos válidos del mismo ID y cuota con fecha igual o anterior al corte.</t>
      </text>
    </comment>
    <comment authorId="0" ref="O443">
      <text>
        <t xml:space="preserve">MIN(amortización pactada; MAX(0; pagado − cargos − interés)). No imputa excedentes a otras cuotas.</t>
      </text>
    </comment>
    <comment authorId="0" ref="P443">
      <text>
        <t xml:space="preserve">MAX(0; total pactado − pagado a esta cuota). Incluye capital, interés y cargos pendientes de ESA cuota.</t>
      </text>
    </comment>
    <comment authorId="0" ref="Q443">
      <text>
        <t xml:space="preserve">Días desde vencimiento hasta corte, solo si venció antes del corte y sigue con saldo.</t>
      </text>
    </comment>
    <comment authorId="0" ref="R443">
      <text>
        <t xml:space="preserve">MAX(0; pagado − cuota pactada). Exceso para revisar: no se traspasa a otra cuota.</t>
      </text>
    </comment>
    <comment authorId="0" ref="S443">
      <text>
        <t xml:space="preserve">Pagada, Vencida, Vence hoy, Por vencer o Exceso sin imputar según fecha y saldo al corte.</t>
      </text>
    </comment>
    <comment authorId="0" ref="T443">
      <text>
        <t xml:space="preserve">Auxiliar para encontrar la primera cuota pendiente. El 999999 indica que esta cuota no tiene saldo pendiente o está fuera del plazo, y no es una fecha real.</t>
      </text>
    </comment>
    <comment authorId="0" ref="C444">
      <text>
        <t xml:space="preserve">Crédito al que corresponde esta cuota.</t>
      </text>
    </comment>
    <comment authorId="0" ref="D444">
      <text>
        <t xml:space="preserve">Número de cuota dentro del crédito.</t>
      </text>
    </comment>
    <comment authorId="0" ref="E444">
      <text>
        <t xml:space="preserve">Fecha según EDATE a partir del primer vencimiento. No ajusta automáticamente feriados.</t>
      </text>
    </comment>
    <comment authorId="0" ref="F444">
      <text>
        <t xml:space="preserve">Capital al inicio del período en el calendario ORIGINAL, sin recalcular por pagos reales.</t>
      </text>
    </comment>
    <comment authorId="0" ref="G444">
      <text>
        <t xml:space="preserve">Tasa efectiva del mes según la base ingresada.</t>
      </text>
    </comment>
    <comment authorId="0" ref="H444">
      <text>
        <t xml:space="preserve">Interés del período = capital inicial × tasa mensual, redondeado a dos decimales.</t>
      </text>
    </comment>
    <comment authorId="0" ref="I444">
      <text>
        <t xml:space="preserve">Capital e interés pactados. La última cuota ajusta el saldo por redondeo.</t>
      </text>
    </comment>
    <comment authorId="0" ref="J444">
      <text>
        <t xml:space="preserve">Capital amortizado TEÓRICO = cuota base − interés, limitado al saldo.</t>
      </text>
    </comment>
    <comment authorId="0" ref="K444">
      <text>
        <t xml:space="preserve">Seguro y otros cargos fijos del mes.</t>
      </text>
    </comment>
    <comment authorId="0" ref="L444">
      <text>
        <t xml:space="preserve">Cuota base + cargos.</t>
      </text>
    </comment>
    <comment authorId="0" ref="M444">
      <text>
        <t xml:space="preserve">Capital final del calendario teórico. No equivale al saldo real si hay pagos parciales o atrasos.</t>
      </text>
    </comment>
    <comment authorId="0" ref="N444">
      <text>
        <t xml:space="preserve">Suma de pagos válidos del mismo ID y cuota con fecha igual o anterior al corte.</t>
      </text>
    </comment>
    <comment authorId="0" ref="O444">
      <text>
        <t xml:space="preserve">MIN(amortización pactada; MAX(0; pagado − cargos − interés)). No imputa excedentes a otras cuotas.</t>
      </text>
    </comment>
    <comment authorId="0" ref="P444">
      <text>
        <t xml:space="preserve">MAX(0; total pactado − pagado a esta cuota). Incluye capital, interés y cargos pendientes de ESA cuota.</t>
      </text>
    </comment>
    <comment authorId="0" ref="Q444">
      <text>
        <t xml:space="preserve">Días desde vencimiento hasta corte, solo si venció antes del corte y sigue con saldo.</t>
      </text>
    </comment>
    <comment authorId="0" ref="R444">
      <text>
        <t xml:space="preserve">MAX(0; pagado − cuota pactada). Exceso para revisar: no se traspasa a otra cuota.</t>
      </text>
    </comment>
    <comment authorId="0" ref="S444">
      <text>
        <t xml:space="preserve">Pagada, Vencida, Vence hoy, Por vencer o Exceso sin imputar según fecha y saldo al corte.</t>
      </text>
    </comment>
    <comment authorId="0" ref="T444">
      <text>
        <t xml:space="preserve">Auxiliar para encontrar la primera cuota pendiente. El 999999 indica que esta cuota no tiene saldo pendiente o está fuera del plazo, y no es una fecha real.</t>
      </text>
    </comment>
    <comment authorId="0" ref="C445">
      <text>
        <t xml:space="preserve">Crédito al que corresponde esta cuota.</t>
      </text>
    </comment>
    <comment authorId="0" ref="D445">
      <text>
        <t xml:space="preserve">Número de cuota dentro del crédito.</t>
      </text>
    </comment>
    <comment authorId="0" ref="E445">
      <text>
        <t xml:space="preserve">Fecha según EDATE a partir del primer vencimiento. No ajusta automáticamente feriados.</t>
      </text>
    </comment>
    <comment authorId="0" ref="F445">
      <text>
        <t xml:space="preserve">Capital al inicio del período en el calendario ORIGINAL, sin recalcular por pagos reales.</t>
      </text>
    </comment>
    <comment authorId="0" ref="G445">
      <text>
        <t xml:space="preserve">Tasa efectiva del mes según la base ingresada.</t>
      </text>
    </comment>
    <comment authorId="0" ref="H445">
      <text>
        <t xml:space="preserve">Interés del período = capital inicial × tasa mensual, redondeado a dos decimales.</t>
      </text>
    </comment>
    <comment authorId="0" ref="I445">
      <text>
        <t xml:space="preserve">Capital e interés pactados. La última cuota ajusta el saldo por redondeo.</t>
      </text>
    </comment>
    <comment authorId="0" ref="J445">
      <text>
        <t xml:space="preserve">Capital amortizado TEÓRICO = cuota base − interés, limitado al saldo.</t>
      </text>
    </comment>
    <comment authorId="0" ref="K445">
      <text>
        <t xml:space="preserve">Seguro y otros cargos fijos del mes.</t>
      </text>
    </comment>
    <comment authorId="0" ref="L445">
      <text>
        <t xml:space="preserve">Cuota base + cargos.</t>
      </text>
    </comment>
    <comment authorId="0" ref="M445">
      <text>
        <t xml:space="preserve">Capital final del calendario teórico. No equivale al saldo real si hay pagos parciales o atrasos.</t>
      </text>
    </comment>
    <comment authorId="0" ref="N445">
      <text>
        <t xml:space="preserve">Suma de pagos válidos del mismo ID y cuota con fecha igual o anterior al corte.</t>
      </text>
    </comment>
    <comment authorId="0" ref="O445">
      <text>
        <t xml:space="preserve">MIN(amortización pactada; MAX(0; pagado − cargos − interés)). No imputa excedentes a otras cuotas.</t>
      </text>
    </comment>
    <comment authorId="0" ref="P445">
      <text>
        <t xml:space="preserve">MAX(0; total pactado − pagado a esta cuota). Incluye capital, interés y cargos pendientes de ESA cuota.</t>
      </text>
    </comment>
    <comment authorId="0" ref="Q445">
      <text>
        <t xml:space="preserve">Días desde vencimiento hasta corte, solo si venció antes del corte y sigue con saldo.</t>
      </text>
    </comment>
    <comment authorId="0" ref="R445">
      <text>
        <t xml:space="preserve">MAX(0; pagado − cuota pactada). Exceso para revisar: no se traspasa a otra cuota.</t>
      </text>
    </comment>
    <comment authorId="0" ref="S445">
      <text>
        <t xml:space="preserve">Pagada, Vencida, Vence hoy, Por vencer o Exceso sin imputar según fecha y saldo al corte.</t>
      </text>
    </comment>
    <comment authorId="0" ref="T445">
      <text>
        <t xml:space="preserve">Auxiliar para encontrar la primera cuota pendiente. El 999999 indica que esta cuota no tiene saldo pendiente o está fuera del plazo, y no es una fecha real.</t>
      </text>
    </comment>
    <comment authorId="0" ref="C446">
      <text>
        <t xml:space="preserve">Crédito al que corresponde esta cuota.</t>
      </text>
    </comment>
    <comment authorId="0" ref="D446">
      <text>
        <t xml:space="preserve">Número de cuota dentro del crédito.</t>
      </text>
    </comment>
    <comment authorId="0" ref="E446">
      <text>
        <t xml:space="preserve">Fecha según EDATE a partir del primer vencimiento. No ajusta automáticamente feriados.</t>
      </text>
    </comment>
    <comment authorId="0" ref="F446">
      <text>
        <t xml:space="preserve">Capital al inicio del período en el calendario ORIGINAL, sin recalcular por pagos reales.</t>
      </text>
    </comment>
    <comment authorId="0" ref="G446">
      <text>
        <t xml:space="preserve">Tasa efectiva del mes según la base ingresada.</t>
      </text>
    </comment>
    <comment authorId="0" ref="H446">
      <text>
        <t xml:space="preserve">Interés del período = capital inicial × tasa mensual, redondeado a dos decimales.</t>
      </text>
    </comment>
    <comment authorId="0" ref="I446">
      <text>
        <t xml:space="preserve">Capital e interés pactados. La última cuota ajusta el saldo por redondeo.</t>
      </text>
    </comment>
    <comment authorId="0" ref="J446">
      <text>
        <t xml:space="preserve">Capital amortizado TEÓRICO = cuota base − interés, limitado al saldo.</t>
      </text>
    </comment>
    <comment authorId="0" ref="K446">
      <text>
        <t xml:space="preserve">Seguro y otros cargos fijos del mes.</t>
      </text>
    </comment>
    <comment authorId="0" ref="L446">
      <text>
        <t xml:space="preserve">Cuota base + cargos.</t>
      </text>
    </comment>
    <comment authorId="0" ref="M446">
      <text>
        <t xml:space="preserve">Capital final del calendario teórico. No equivale al saldo real si hay pagos parciales o atrasos.</t>
      </text>
    </comment>
    <comment authorId="0" ref="N446">
      <text>
        <t xml:space="preserve">Suma de pagos válidos del mismo ID y cuota con fecha igual o anterior al corte.</t>
      </text>
    </comment>
    <comment authorId="0" ref="O446">
      <text>
        <t xml:space="preserve">MIN(amortización pactada; MAX(0; pagado − cargos − interés)). No imputa excedentes a otras cuotas.</t>
      </text>
    </comment>
    <comment authorId="0" ref="P446">
      <text>
        <t xml:space="preserve">MAX(0; total pactado − pagado a esta cuota). Incluye capital, interés y cargos pendientes de ESA cuota.</t>
      </text>
    </comment>
    <comment authorId="0" ref="Q446">
      <text>
        <t xml:space="preserve">Días desde vencimiento hasta corte, solo si venció antes del corte y sigue con saldo.</t>
      </text>
    </comment>
    <comment authorId="0" ref="R446">
      <text>
        <t xml:space="preserve">MAX(0; pagado − cuota pactada). Exceso para revisar: no se traspasa a otra cuota.</t>
      </text>
    </comment>
    <comment authorId="0" ref="S446">
      <text>
        <t xml:space="preserve">Pagada, Vencida, Vence hoy, Por vencer o Exceso sin imputar según fecha y saldo al corte.</t>
      </text>
    </comment>
    <comment authorId="0" ref="T446">
      <text>
        <t xml:space="preserve">Auxiliar para encontrar la primera cuota pendiente. El 999999 indica que esta cuota no tiene saldo pendiente o está fuera del plazo, y no es una fecha real.</t>
      </text>
    </comment>
    <comment authorId="0" ref="C447">
      <text>
        <t xml:space="preserve">Crédito al que corresponde esta cuota.</t>
      </text>
    </comment>
    <comment authorId="0" ref="D447">
      <text>
        <t xml:space="preserve">Número de cuota dentro del crédito.</t>
      </text>
    </comment>
    <comment authorId="0" ref="E447">
      <text>
        <t xml:space="preserve">Fecha según EDATE a partir del primer vencimiento. No ajusta automáticamente feriados.</t>
      </text>
    </comment>
    <comment authorId="0" ref="F447">
      <text>
        <t xml:space="preserve">Capital al inicio del período en el calendario ORIGINAL, sin recalcular por pagos reales.</t>
      </text>
    </comment>
    <comment authorId="0" ref="G447">
      <text>
        <t xml:space="preserve">Tasa efectiva del mes según la base ingresada.</t>
      </text>
    </comment>
    <comment authorId="0" ref="H447">
      <text>
        <t xml:space="preserve">Interés del período = capital inicial × tasa mensual, redondeado a dos decimales.</t>
      </text>
    </comment>
    <comment authorId="0" ref="I447">
      <text>
        <t xml:space="preserve">Capital e interés pactados. La última cuota ajusta el saldo por redondeo.</t>
      </text>
    </comment>
    <comment authorId="0" ref="J447">
      <text>
        <t xml:space="preserve">Capital amortizado TEÓRICO = cuota base − interés, limitado al saldo.</t>
      </text>
    </comment>
    <comment authorId="0" ref="K447">
      <text>
        <t xml:space="preserve">Seguro y otros cargos fijos del mes.</t>
      </text>
    </comment>
    <comment authorId="0" ref="L447">
      <text>
        <t xml:space="preserve">Cuota base + cargos.</t>
      </text>
    </comment>
    <comment authorId="0" ref="M447">
      <text>
        <t xml:space="preserve">Capital final del calendario teórico. No equivale al saldo real si hay pagos parciales o atrasos.</t>
      </text>
    </comment>
    <comment authorId="0" ref="N447">
      <text>
        <t xml:space="preserve">Suma de pagos válidos del mismo ID y cuota con fecha igual o anterior al corte.</t>
      </text>
    </comment>
    <comment authorId="0" ref="O447">
      <text>
        <t xml:space="preserve">MIN(amortización pactada; MAX(0; pagado − cargos − interés)). No imputa excedentes a otras cuotas.</t>
      </text>
    </comment>
    <comment authorId="0" ref="P447">
      <text>
        <t xml:space="preserve">MAX(0; total pactado − pagado a esta cuota). Incluye capital, interés y cargos pendientes de ESA cuota.</t>
      </text>
    </comment>
    <comment authorId="0" ref="Q447">
      <text>
        <t xml:space="preserve">Días desde vencimiento hasta corte, solo si venció antes del corte y sigue con saldo.</t>
      </text>
    </comment>
    <comment authorId="0" ref="R447">
      <text>
        <t xml:space="preserve">MAX(0; pagado − cuota pactada). Exceso para revisar: no se traspasa a otra cuota.</t>
      </text>
    </comment>
    <comment authorId="0" ref="S447">
      <text>
        <t xml:space="preserve">Pagada, Vencida, Vence hoy, Por vencer o Exceso sin imputar según fecha y saldo al corte.</t>
      </text>
    </comment>
    <comment authorId="0" ref="T447">
      <text>
        <t xml:space="preserve">Auxiliar para encontrar la primera cuota pendiente. El 999999 indica que esta cuota no tiene saldo pendiente o está fuera del plazo, y no es una fecha real.</t>
      </text>
    </comment>
    <comment authorId="0" ref="C448">
      <text>
        <t xml:space="preserve">Crédito al que corresponde esta cuota.</t>
      </text>
    </comment>
    <comment authorId="0" ref="D448">
      <text>
        <t xml:space="preserve">Número de cuota dentro del crédito.</t>
      </text>
    </comment>
    <comment authorId="0" ref="E448">
      <text>
        <t xml:space="preserve">Fecha según EDATE a partir del primer vencimiento. No ajusta automáticamente feriados.</t>
      </text>
    </comment>
    <comment authorId="0" ref="F448">
      <text>
        <t xml:space="preserve">Capital al inicio del período en el calendario ORIGINAL, sin recalcular por pagos reales.</t>
      </text>
    </comment>
    <comment authorId="0" ref="G448">
      <text>
        <t xml:space="preserve">Tasa efectiva del mes según la base ingresada.</t>
      </text>
    </comment>
    <comment authorId="0" ref="H448">
      <text>
        <t xml:space="preserve">Interés del período = capital inicial × tasa mensual, redondeado a dos decimales.</t>
      </text>
    </comment>
    <comment authorId="0" ref="I448">
      <text>
        <t xml:space="preserve">Capital e interés pactados. La última cuota ajusta el saldo por redondeo.</t>
      </text>
    </comment>
    <comment authorId="0" ref="J448">
      <text>
        <t xml:space="preserve">Capital amortizado TEÓRICO = cuota base − interés, limitado al saldo.</t>
      </text>
    </comment>
    <comment authorId="0" ref="K448">
      <text>
        <t xml:space="preserve">Seguro y otros cargos fijos del mes.</t>
      </text>
    </comment>
    <comment authorId="0" ref="L448">
      <text>
        <t xml:space="preserve">Cuota base + cargos.</t>
      </text>
    </comment>
    <comment authorId="0" ref="M448">
      <text>
        <t xml:space="preserve">Capital final del calendario teórico. No equivale al saldo real si hay pagos parciales o atrasos.</t>
      </text>
    </comment>
    <comment authorId="0" ref="N448">
      <text>
        <t xml:space="preserve">Suma de pagos válidos del mismo ID y cuota con fecha igual o anterior al corte.</t>
      </text>
    </comment>
    <comment authorId="0" ref="O448">
      <text>
        <t xml:space="preserve">MIN(amortización pactada; MAX(0; pagado − cargos − interés)). No imputa excedentes a otras cuotas.</t>
      </text>
    </comment>
    <comment authorId="0" ref="P448">
      <text>
        <t xml:space="preserve">MAX(0; total pactado − pagado a esta cuota). Incluye capital, interés y cargos pendientes de ESA cuota.</t>
      </text>
    </comment>
    <comment authorId="0" ref="Q448">
      <text>
        <t xml:space="preserve">Días desde vencimiento hasta corte, solo si venció antes del corte y sigue con saldo.</t>
      </text>
    </comment>
    <comment authorId="0" ref="R448">
      <text>
        <t xml:space="preserve">MAX(0; pagado − cuota pactada). Exceso para revisar: no se traspasa a otra cuota.</t>
      </text>
    </comment>
    <comment authorId="0" ref="S448">
      <text>
        <t xml:space="preserve">Pagada, Vencida, Vence hoy, Por vencer o Exceso sin imputar según fecha y saldo al corte.</t>
      </text>
    </comment>
    <comment authorId="0" ref="T448">
      <text>
        <t xml:space="preserve">Auxiliar para encontrar la primera cuota pendiente. El 999999 indica que esta cuota no tiene saldo pendiente o está fuera del plazo, y no es una fecha real.</t>
      </text>
    </comment>
    <comment authorId="0" ref="C449">
      <text>
        <t xml:space="preserve">Crédito al que corresponde esta cuota.</t>
      </text>
    </comment>
    <comment authorId="0" ref="D449">
      <text>
        <t xml:space="preserve">Número de cuota dentro del crédito.</t>
      </text>
    </comment>
    <comment authorId="0" ref="E449">
      <text>
        <t xml:space="preserve">Fecha según EDATE a partir del primer vencimiento. No ajusta automáticamente feriados.</t>
      </text>
    </comment>
    <comment authorId="0" ref="F449">
      <text>
        <t xml:space="preserve">Capital al inicio del período en el calendario ORIGINAL, sin recalcular por pagos reales.</t>
      </text>
    </comment>
    <comment authorId="0" ref="G449">
      <text>
        <t xml:space="preserve">Tasa efectiva del mes según la base ingresada.</t>
      </text>
    </comment>
    <comment authorId="0" ref="H449">
      <text>
        <t xml:space="preserve">Interés del período = capital inicial × tasa mensual, redondeado a dos decimales.</t>
      </text>
    </comment>
    <comment authorId="0" ref="I449">
      <text>
        <t xml:space="preserve">Capital e interés pactados. La última cuota ajusta el saldo por redondeo.</t>
      </text>
    </comment>
    <comment authorId="0" ref="J449">
      <text>
        <t xml:space="preserve">Capital amortizado TEÓRICO = cuota base − interés, limitado al saldo.</t>
      </text>
    </comment>
    <comment authorId="0" ref="K449">
      <text>
        <t xml:space="preserve">Seguro y otros cargos fijos del mes.</t>
      </text>
    </comment>
    <comment authorId="0" ref="L449">
      <text>
        <t xml:space="preserve">Cuota base + cargos.</t>
      </text>
    </comment>
    <comment authorId="0" ref="M449">
      <text>
        <t xml:space="preserve">Capital final del calendario teórico. No equivale al saldo real si hay pagos parciales o atrasos.</t>
      </text>
    </comment>
    <comment authorId="0" ref="N449">
      <text>
        <t xml:space="preserve">Suma de pagos válidos del mismo ID y cuota con fecha igual o anterior al corte.</t>
      </text>
    </comment>
    <comment authorId="0" ref="O449">
      <text>
        <t xml:space="preserve">MIN(amortización pactada; MAX(0; pagado − cargos − interés)). No imputa excedentes a otras cuotas.</t>
      </text>
    </comment>
    <comment authorId="0" ref="P449">
      <text>
        <t xml:space="preserve">MAX(0; total pactado − pagado a esta cuota). Incluye capital, interés y cargos pendientes de ESA cuota.</t>
      </text>
    </comment>
    <comment authorId="0" ref="Q449">
      <text>
        <t xml:space="preserve">Días desde vencimiento hasta corte, solo si venció antes del corte y sigue con saldo.</t>
      </text>
    </comment>
    <comment authorId="0" ref="R449">
      <text>
        <t xml:space="preserve">MAX(0; pagado − cuota pactada). Exceso para revisar: no se traspasa a otra cuota.</t>
      </text>
    </comment>
    <comment authorId="0" ref="S449">
      <text>
        <t xml:space="preserve">Pagada, Vencida, Vence hoy, Por vencer o Exceso sin imputar según fecha y saldo al corte.</t>
      </text>
    </comment>
    <comment authorId="0" ref="T449">
      <text>
        <t xml:space="preserve">Auxiliar para encontrar la primera cuota pendiente. El 999999 indica que esta cuota no tiene saldo pendiente o está fuera del plazo, y no es una fecha real.</t>
      </text>
    </comment>
    <comment authorId="0" ref="C450">
      <text>
        <t xml:space="preserve">Crédito al que corresponde esta cuota.</t>
      </text>
    </comment>
    <comment authorId="0" ref="D450">
      <text>
        <t xml:space="preserve">Número de cuota dentro del crédito.</t>
      </text>
    </comment>
    <comment authorId="0" ref="E450">
      <text>
        <t xml:space="preserve">Fecha según EDATE a partir del primer vencimiento. No ajusta automáticamente feriados.</t>
      </text>
    </comment>
    <comment authorId="0" ref="F450">
      <text>
        <t xml:space="preserve">Capital al inicio del período en el calendario ORIGINAL, sin recalcular por pagos reales.</t>
      </text>
    </comment>
    <comment authorId="0" ref="G450">
      <text>
        <t xml:space="preserve">Tasa efectiva del mes según la base ingresada.</t>
      </text>
    </comment>
    <comment authorId="0" ref="H450">
      <text>
        <t xml:space="preserve">Interés del período = capital inicial × tasa mensual, redondeado a dos decimales.</t>
      </text>
    </comment>
    <comment authorId="0" ref="I450">
      <text>
        <t xml:space="preserve">Capital e interés pactados. La última cuota ajusta el saldo por redondeo.</t>
      </text>
    </comment>
    <comment authorId="0" ref="J450">
      <text>
        <t xml:space="preserve">Capital amortizado TEÓRICO = cuota base − interés, limitado al saldo.</t>
      </text>
    </comment>
    <comment authorId="0" ref="K450">
      <text>
        <t xml:space="preserve">Seguro y otros cargos fijos del mes.</t>
      </text>
    </comment>
    <comment authorId="0" ref="L450">
      <text>
        <t xml:space="preserve">Cuota base + cargos.</t>
      </text>
    </comment>
    <comment authorId="0" ref="M450">
      <text>
        <t xml:space="preserve">Capital final del calendario teórico. No equivale al saldo real si hay pagos parciales o atrasos.</t>
      </text>
    </comment>
    <comment authorId="0" ref="N450">
      <text>
        <t xml:space="preserve">Suma de pagos válidos del mismo ID y cuota con fecha igual o anterior al corte.</t>
      </text>
    </comment>
    <comment authorId="0" ref="O450">
      <text>
        <t xml:space="preserve">MIN(amortización pactada; MAX(0; pagado − cargos − interés)). No imputa excedentes a otras cuotas.</t>
      </text>
    </comment>
    <comment authorId="0" ref="P450">
      <text>
        <t xml:space="preserve">MAX(0; total pactado − pagado a esta cuota). Incluye capital, interés y cargos pendientes de ESA cuota.</t>
      </text>
    </comment>
    <comment authorId="0" ref="Q450">
      <text>
        <t xml:space="preserve">Días desde vencimiento hasta corte, solo si venció antes del corte y sigue con saldo.</t>
      </text>
    </comment>
    <comment authorId="0" ref="R450">
      <text>
        <t xml:space="preserve">MAX(0; pagado − cuota pactada). Exceso para revisar: no se traspasa a otra cuota.</t>
      </text>
    </comment>
    <comment authorId="0" ref="S450">
      <text>
        <t xml:space="preserve">Pagada, Vencida, Vence hoy, Por vencer o Exceso sin imputar según fecha y saldo al corte.</t>
      </text>
    </comment>
    <comment authorId="0" ref="T450">
      <text>
        <t xml:space="preserve">Auxiliar para encontrar la primera cuota pendiente. El 999999 indica que esta cuota no tiene saldo pendiente o está fuera del plazo, y no es una fecha real.</t>
      </text>
    </comment>
    <comment authorId="0" ref="C451">
      <text>
        <t xml:space="preserve">Crédito al que corresponde esta cuota.</t>
      </text>
    </comment>
    <comment authorId="0" ref="D451">
      <text>
        <t xml:space="preserve">Número de cuota dentro del crédito.</t>
      </text>
    </comment>
    <comment authorId="0" ref="E451">
      <text>
        <t xml:space="preserve">Fecha según EDATE a partir del primer vencimiento. No ajusta automáticamente feriados.</t>
      </text>
    </comment>
    <comment authorId="0" ref="F451">
      <text>
        <t xml:space="preserve">Capital al inicio del período en el calendario ORIGINAL, sin recalcular por pagos reales.</t>
      </text>
    </comment>
    <comment authorId="0" ref="G451">
      <text>
        <t xml:space="preserve">Tasa efectiva del mes según la base ingresada.</t>
      </text>
    </comment>
    <comment authorId="0" ref="H451">
      <text>
        <t xml:space="preserve">Interés del período = capital inicial × tasa mensual, redondeado a dos decimales.</t>
      </text>
    </comment>
    <comment authorId="0" ref="I451">
      <text>
        <t xml:space="preserve">Capital e interés pactados. La última cuota ajusta el saldo por redondeo.</t>
      </text>
    </comment>
    <comment authorId="0" ref="J451">
      <text>
        <t xml:space="preserve">Capital amortizado TEÓRICO = cuota base − interés, limitado al saldo.</t>
      </text>
    </comment>
    <comment authorId="0" ref="K451">
      <text>
        <t xml:space="preserve">Seguro y otros cargos fijos del mes.</t>
      </text>
    </comment>
    <comment authorId="0" ref="L451">
      <text>
        <t xml:space="preserve">Cuota base + cargos.</t>
      </text>
    </comment>
    <comment authorId="0" ref="M451">
      <text>
        <t xml:space="preserve">Capital final del calendario teórico. No equivale al saldo real si hay pagos parciales o atrasos.</t>
      </text>
    </comment>
    <comment authorId="0" ref="N451">
      <text>
        <t xml:space="preserve">Suma de pagos válidos del mismo ID y cuota con fecha igual o anterior al corte.</t>
      </text>
    </comment>
    <comment authorId="0" ref="O451">
      <text>
        <t xml:space="preserve">MIN(amortización pactada; MAX(0; pagado − cargos − interés)). No imputa excedentes a otras cuotas.</t>
      </text>
    </comment>
    <comment authorId="0" ref="P451">
      <text>
        <t xml:space="preserve">MAX(0; total pactado − pagado a esta cuota). Incluye capital, interés y cargos pendientes de ESA cuota.</t>
      </text>
    </comment>
    <comment authorId="0" ref="Q451">
      <text>
        <t xml:space="preserve">Días desde vencimiento hasta corte, solo si venció antes del corte y sigue con saldo.</t>
      </text>
    </comment>
    <comment authorId="0" ref="R451">
      <text>
        <t xml:space="preserve">MAX(0; pagado − cuota pactada). Exceso para revisar: no se traspasa a otra cuota.</t>
      </text>
    </comment>
    <comment authorId="0" ref="S451">
      <text>
        <t xml:space="preserve">Pagada, Vencida, Vence hoy, Por vencer o Exceso sin imputar según fecha y saldo al corte.</t>
      </text>
    </comment>
    <comment authorId="0" ref="T451">
      <text>
        <t xml:space="preserve">Auxiliar para encontrar la primera cuota pendiente. El 999999 indica que esta cuota no tiene saldo pendiente o está fuera del plazo, y no es una fecha real.</t>
      </text>
    </comment>
    <comment authorId="0" ref="C452">
      <text>
        <t xml:space="preserve">Crédito al que corresponde esta cuota.</t>
      </text>
    </comment>
    <comment authorId="0" ref="D452">
      <text>
        <t xml:space="preserve">Número de cuota dentro del crédito.</t>
      </text>
    </comment>
    <comment authorId="0" ref="E452">
      <text>
        <t xml:space="preserve">Fecha según EDATE a partir del primer vencimiento. No ajusta automáticamente feriados.</t>
      </text>
    </comment>
    <comment authorId="0" ref="F452">
      <text>
        <t xml:space="preserve">Capital al inicio del período en el calendario ORIGINAL, sin recalcular por pagos reales.</t>
      </text>
    </comment>
    <comment authorId="0" ref="G452">
      <text>
        <t xml:space="preserve">Tasa efectiva del mes según la base ingresada.</t>
      </text>
    </comment>
    <comment authorId="0" ref="H452">
      <text>
        <t xml:space="preserve">Interés del período = capital inicial × tasa mensual, redondeado a dos decimales.</t>
      </text>
    </comment>
    <comment authorId="0" ref="I452">
      <text>
        <t xml:space="preserve">Capital e interés pactados. La última cuota ajusta el saldo por redondeo.</t>
      </text>
    </comment>
    <comment authorId="0" ref="J452">
      <text>
        <t xml:space="preserve">Capital amortizado TEÓRICO = cuota base − interés, limitado al saldo.</t>
      </text>
    </comment>
    <comment authorId="0" ref="K452">
      <text>
        <t xml:space="preserve">Seguro y otros cargos fijos del mes.</t>
      </text>
    </comment>
    <comment authorId="0" ref="L452">
      <text>
        <t xml:space="preserve">Cuota base + cargos.</t>
      </text>
    </comment>
    <comment authorId="0" ref="M452">
      <text>
        <t xml:space="preserve">Capital final del calendario teórico. No equivale al saldo real si hay pagos parciales o atrasos.</t>
      </text>
    </comment>
    <comment authorId="0" ref="N452">
      <text>
        <t xml:space="preserve">Suma de pagos válidos del mismo ID y cuota con fecha igual o anterior al corte.</t>
      </text>
    </comment>
    <comment authorId="0" ref="O452">
      <text>
        <t xml:space="preserve">MIN(amortización pactada; MAX(0; pagado − cargos − interés)). No imputa excedentes a otras cuotas.</t>
      </text>
    </comment>
    <comment authorId="0" ref="P452">
      <text>
        <t xml:space="preserve">MAX(0; total pactado − pagado a esta cuota). Incluye capital, interés y cargos pendientes de ESA cuota.</t>
      </text>
    </comment>
    <comment authorId="0" ref="Q452">
      <text>
        <t xml:space="preserve">Días desde vencimiento hasta corte, solo si venció antes del corte y sigue con saldo.</t>
      </text>
    </comment>
    <comment authorId="0" ref="R452">
      <text>
        <t xml:space="preserve">MAX(0; pagado − cuota pactada). Exceso para revisar: no se traspasa a otra cuota.</t>
      </text>
    </comment>
    <comment authorId="0" ref="S452">
      <text>
        <t xml:space="preserve">Pagada, Vencida, Vence hoy, Por vencer o Exceso sin imputar según fecha y saldo al corte.</t>
      </text>
    </comment>
    <comment authorId="0" ref="T452">
      <text>
        <t xml:space="preserve">Auxiliar para encontrar la primera cuota pendiente. El 999999 indica que esta cuota no tiene saldo pendiente o está fuera del plazo, y no es una fecha real.</t>
      </text>
    </comment>
    <comment authorId="0" ref="C453">
      <text>
        <t xml:space="preserve">Crédito al que corresponde esta cuota.</t>
      </text>
    </comment>
    <comment authorId="0" ref="D453">
      <text>
        <t xml:space="preserve">Número de cuota dentro del crédito.</t>
      </text>
    </comment>
    <comment authorId="0" ref="E453">
      <text>
        <t xml:space="preserve">Fecha según EDATE a partir del primer vencimiento. No ajusta automáticamente feriados.</t>
      </text>
    </comment>
    <comment authorId="0" ref="F453">
      <text>
        <t xml:space="preserve">Capital al inicio del período en el calendario ORIGINAL, sin recalcular por pagos reales.</t>
      </text>
    </comment>
    <comment authorId="0" ref="G453">
      <text>
        <t xml:space="preserve">Tasa efectiva del mes según la base ingresada.</t>
      </text>
    </comment>
    <comment authorId="0" ref="H453">
      <text>
        <t xml:space="preserve">Interés del período = capital inicial × tasa mensual, redondeado a dos decimales.</t>
      </text>
    </comment>
    <comment authorId="0" ref="I453">
      <text>
        <t xml:space="preserve">Capital e interés pactados. La última cuota ajusta el saldo por redondeo.</t>
      </text>
    </comment>
    <comment authorId="0" ref="J453">
      <text>
        <t xml:space="preserve">Capital amortizado TEÓRICO = cuota base − interés, limitado al saldo.</t>
      </text>
    </comment>
    <comment authorId="0" ref="K453">
      <text>
        <t xml:space="preserve">Seguro y otros cargos fijos del mes.</t>
      </text>
    </comment>
    <comment authorId="0" ref="L453">
      <text>
        <t xml:space="preserve">Cuota base + cargos.</t>
      </text>
    </comment>
    <comment authorId="0" ref="M453">
      <text>
        <t xml:space="preserve">Capital final del calendario teórico. No equivale al saldo real si hay pagos parciales o atrasos.</t>
      </text>
    </comment>
    <comment authorId="0" ref="N453">
      <text>
        <t xml:space="preserve">Suma de pagos válidos del mismo ID y cuota con fecha igual o anterior al corte.</t>
      </text>
    </comment>
    <comment authorId="0" ref="O453">
      <text>
        <t xml:space="preserve">MIN(amortización pactada; MAX(0; pagado − cargos − interés)). No imputa excedentes a otras cuotas.</t>
      </text>
    </comment>
    <comment authorId="0" ref="P453">
      <text>
        <t xml:space="preserve">MAX(0; total pactado − pagado a esta cuota). Incluye capital, interés y cargos pendientes de ESA cuota.</t>
      </text>
    </comment>
    <comment authorId="0" ref="Q453">
      <text>
        <t xml:space="preserve">Días desde vencimiento hasta corte, solo si venció antes del corte y sigue con saldo.</t>
      </text>
    </comment>
    <comment authorId="0" ref="R453">
      <text>
        <t xml:space="preserve">MAX(0; pagado − cuota pactada). Exceso para revisar: no se traspasa a otra cuota.</t>
      </text>
    </comment>
    <comment authorId="0" ref="S453">
      <text>
        <t xml:space="preserve">Pagada, Vencida, Vence hoy, Por vencer o Exceso sin imputar según fecha y saldo al corte.</t>
      </text>
    </comment>
    <comment authorId="0" ref="T453">
      <text>
        <t xml:space="preserve">Auxiliar para encontrar la primera cuota pendiente. El 999999 indica que esta cuota no tiene saldo pendiente o está fuera del plazo, y no es una fecha real.</t>
      </text>
    </comment>
    <comment authorId="0" ref="C454">
      <text>
        <t xml:space="preserve">Crédito al que corresponde esta cuota.</t>
      </text>
    </comment>
    <comment authorId="0" ref="D454">
      <text>
        <t xml:space="preserve">Número de cuota dentro del crédito.</t>
      </text>
    </comment>
    <comment authorId="0" ref="E454">
      <text>
        <t xml:space="preserve">Fecha según EDATE a partir del primer vencimiento. No ajusta automáticamente feriados.</t>
      </text>
    </comment>
    <comment authorId="0" ref="F454">
      <text>
        <t xml:space="preserve">Capital al inicio del período en el calendario ORIGINAL, sin recalcular por pagos reales.</t>
      </text>
    </comment>
    <comment authorId="0" ref="G454">
      <text>
        <t xml:space="preserve">Tasa efectiva del mes según la base ingresada.</t>
      </text>
    </comment>
    <comment authorId="0" ref="H454">
      <text>
        <t xml:space="preserve">Interés del período = capital inicial × tasa mensual, redondeado a dos decimales.</t>
      </text>
    </comment>
    <comment authorId="0" ref="I454">
      <text>
        <t xml:space="preserve">Capital e interés pactados. La última cuota ajusta el saldo por redondeo.</t>
      </text>
    </comment>
    <comment authorId="0" ref="J454">
      <text>
        <t xml:space="preserve">Capital amortizado TEÓRICO = cuota base − interés, limitado al saldo.</t>
      </text>
    </comment>
    <comment authorId="0" ref="K454">
      <text>
        <t xml:space="preserve">Seguro y otros cargos fijos del mes.</t>
      </text>
    </comment>
    <comment authorId="0" ref="L454">
      <text>
        <t xml:space="preserve">Cuota base + cargos.</t>
      </text>
    </comment>
    <comment authorId="0" ref="M454">
      <text>
        <t xml:space="preserve">Capital final del calendario teórico. No equivale al saldo real si hay pagos parciales o atrasos.</t>
      </text>
    </comment>
    <comment authorId="0" ref="N454">
      <text>
        <t xml:space="preserve">Suma de pagos válidos del mismo ID y cuota con fecha igual o anterior al corte.</t>
      </text>
    </comment>
    <comment authorId="0" ref="O454">
      <text>
        <t xml:space="preserve">MIN(amortización pactada; MAX(0; pagado − cargos − interés)). No imputa excedentes a otras cuotas.</t>
      </text>
    </comment>
    <comment authorId="0" ref="P454">
      <text>
        <t xml:space="preserve">MAX(0; total pactado − pagado a esta cuota). Incluye capital, interés y cargos pendientes de ESA cuota.</t>
      </text>
    </comment>
    <comment authorId="0" ref="Q454">
      <text>
        <t xml:space="preserve">Días desde vencimiento hasta corte, solo si venció antes del corte y sigue con saldo.</t>
      </text>
    </comment>
    <comment authorId="0" ref="R454">
      <text>
        <t xml:space="preserve">MAX(0; pagado − cuota pactada). Exceso para revisar: no se traspasa a otra cuota.</t>
      </text>
    </comment>
    <comment authorId="0" ref="S454">
      <text>
        <t xml:space="preserve">Pagada, Vencida, Vence hoy, Por vencer o Exceso sin imputar según fecha y saldo al corte.</t>
      </text>
    </comment>
    <comment authorId="0" ref="T454">
      <text>
        <t xml:space="preserve">Auxiliar para encontrar la primera cuota pendiente. El 999999 indica que esta cuota no tiene saldo pendiente o está fuera del plazo, y no es una fecha real.</t>
      </text>
    </comment>
    <comment authorId="0" ref="C455">
      <text>
        <t xml:space="preserve">Crédito al que corresponde esta cuota.</t>
      </text>
    </comment>
    <comment authorId="0" ref="D455">
      <text>
        <t xml:space="preserve">Número de cuota dentro del crédito.</t>
      </text>
    </comment>
    <comment authorId="0" ref="E455">
      <text>
        <t xml:space="preserve">Fecha según EDATE a partir del primer vencimiento. No ajusta automáticamente feriados.</t>
      </text>
    </comment>
    <comment authorId="0" ref="F455">
      <text>
        <t xml:space="preserve">Capital al inicio del período en el calendario ORIGINAL, sin recalcular por pagos reales.</t>
      </text>
    </comment>
    <comment authorId="0" ref="G455">
      <text>
        <t xml:space="preserve">Tasa efectiva del mes según la base ingresada.</t>
      </text>
    </comment>
    <comment authorId="0" ref="H455">
      <text>
        <t xml:space="preserve">Interés del período = capital inicial × tasa mensual, redondeado a dos decimales.</t>
      </text>
    </comment>
    <comment authorId="0" ref="I455">
      <text>
        <t xml:space="preserve">Capital e interés pactados. La última cuota ajusta el saldo por redondeo.</t>
      </text>
    </comment>
    <comment authorId="0" ref="J455">
      <text>
        <t xml:space="preserve">Capital amortizado TEÓRICO = cuota base − interés, limitado al saldo.</t>
      </text>
    </comment>
    <comment authorId="0" ref="K455">
      <text>
        <t xml:space="preserve">Seguro y otros cargos fijos del mes.</t>
      </text>
    </comment>
    <comment authorId="0" ref="L455">
      <text>
        <t xml:space="preserve">Cuota base + cargos.</t>
      </text>
    </comment>
    <comment authorId="0" ref="M455">
      <text>
        <t xml:space="preserve">Capital final del calendario teórico. No equivale al saldo real si hay pagos parciales o atrasos.</t>
      </text>
    </comment>
    <comment authorId="0" ref="N455">
      <text>
        <t xml:space="preserve">Suma de pagos válidos del mismo ID y cuota con fecha igual o anterior al corte.</t>
      </text>
    </comment>
    <comment authorId="0" ref="O455">
      <text>
        <t xml:space="preserve">MIN(amortización pactada; MAX(0; pagado − cargos − interés)). No imputa excedentes a otras cuotas.</t>
      </text>
    </comment>
    <comment authorId="0" ref="P455">
      <text>
        <t xml:space="preserve">MAX(0; total pactado − pagado a esta cuota). Incluye capital, interés y cargos pendientes de ESA cuota.</t>
      </text>
    </comment>
    <comment authorId="0" ref="Q455">
      <text>
        <t xml:space="preserve">Días desde vencimiento hasta corte, solo si venció antes del corte y sigue con saldo.</t>
      </text>
    </comment>
    <comment authorId="0" ref="R455">
      <text>
        <t xml:space="preserve">MAX(0; pagado − cuota pactada). Exceso para revisar: no se traspasa a otra cuota.</t>
      </text>
    </comment>
    <comment authorId="0" ref="S455">
      <text>
        <t xml:space="preserve">Pagada, Vencida, Vence hoy, Por vencer o Exceso sin imputar según fecha y saldo al corte.</t>
      </text>
    </comment>
    <comment authorId="0" ref="T455">
      <text>
        <t xml:space="preserve">Auxiliar para encontrar la primera cuota pendiente. El 999999 indica que esta cuota no tiene saldo pendiente o está fuera del plazo, y no es una fecha real.</t>
      </text>
    </comment>
    <comment authorId="0" ref="C456">
      <text>
        <t xml:space="preserve">Crédito al que corresponde esta cuota.</t>
      </text>
    </comment>
    <comment authorId="0" ref="D456">
      <text>
        <t xml:space="preserve">Número de cuota dentro del crédito.</t>
      </text>
    </comment>
    <comment authorId="0" ref="E456">
      <text>
        <t xml:space="preserve">Fecha según EDATE a partir del primer vencimiento. No ajusta automáticamente feriados.</t>
      </text>
    </comment>
    <comment authorId="0" ref="F456">
      <text>
        <t xml:space="preserve">Capital al inicio del período en el calendario ORIGINAL, sin recalcular por pagos reales.</t>
      </text>
    </comment>
    <comment authorId="0" ref="G456">
      <text>
        <t xml:space="preserve">Tasa efectiva del mes según la base ingresada.</t>
      </text>
    </comment>
    <comment authorId="0" ref="H456">
      <text>
        <t xml:space="preserve">Interés del período = capital inicial × tasa mensual, redondeado a dos decimales.</t>
      </text>
    </comment>
    <comment authorId="0" ref="I456">
      <text>
        <t xml:space="preserve">Capital e interés pactados. La última cuota ajusta el saldo por redondeo.</t>
      </text>
    </comment>
    <comment authorId="0" ref="J456">
      <text>
        <t xml:space="preserve">Capital amortizado TEÓRICO = cuota base − interés, limitado al saldo.</t>
      </text>
    </comment>
    <comment authorId="0" ref="K456">
      <text>
        <t xml:space="preserve">Seguro y otros cargos fijos del mes.</t>
      </text>
    </comment>
    <comment authorId="0" ref="L456">
      <text>
        <t xml:space="preserve">Cuota base + cargos.</t>
      </text>
    </comment>
    <comment authorId="0" ref="M456">
      <text>
        <t xml:space="preserve">Capital final del calendario teórico. No equivale al saldo real si hay pagos parciales o atrasos.</t>
      </text>
    </comment>
    <comment authorId="0" ref="N456">
      <text>
        <t xml:space="preserve">Suma de pagos válidos del mismo ID y cuota con fecha igual o anterior al corte.</t>
      </text>
    </comment>
    <comment authorId="0" ref="O456">
      <text>
        <t xml:space="preserve">MIN(amortización pactada; MAX(0; pagado − cargos − interés)). No imputa excedentes a otras cuotas.</t>
      </text>
    </comment>
    <comment authorId="0" ref="P456">
      <text>
        <t xml:space="preserve">MAX(0; total pactado − pagado a esta cuota). Incluye capital, interés y cargos pendientes de ESA cuota.</t>
      </text>
    </comment>
    <comment authorId="0" ref="Q456">
      <text>
        <t xml:space="preserve">Días desde vencimiento hasta corte, solo si venció antes del corte y sigue con saldo.</t>
      </text>
    </comment>
    <comment authorId="0" ref="R456">
      <text>
        <t xml:space="preserve">MAX(0; pagado − cuota pactada). Exceso para revisar: no se traspasa a otra cuota.</t>
      </text>
    </comment>
    <comment authorId="0" ref="S456">
      <text>
        <t xml:space="preserve">Pagada, Vencida, Vence hoy, Por vencer o Exceso sin imputar según fecha y saldo al corte.</t>
      </text>
    </comment>
    <comment authorId="0" ref="T456">
      <text>
        <t xml:space="preserve">Auxiliar para encontrar la primera cuota pendiente. El 999999 indica que esta cuota no tiene saldo pendiente o está fuera del plazo, y no es una fecha real.</t>
      </text>
    </comment>
    <comment authorId="0" ref="C457">
      <text>
        <t xml:space="preserve">Crédito al que corresponde esta cuota.</t>
      </text>
    </comment>
    <comment authorId="0" ref="D457">
      <text>
        <t xml:space="preserve">Número de cuota dentro del crédito.</t>
      </text>
    </comment>
    <comment authorId="0" ref="E457">
      <text>
        <t xml:space="preserve">Fecha según EDATE a partir del primer vencimiento. No ajusta automáticamente feriados.</t>
      </text>
    </comment>
    <comment authorId="0" ref="F457">
      <text>
        <t xml:space="preserve">Capital al inicio del período en el calendario ORIGINAL, sin recalcular por pagos reales.</t>
      </text>
    </comment>
    <comment authorId="0" ref="G457">
      <text>
        <t xml:space="preserve">Tasa efectiva del mes según la base ingresada.</t>
      </text>
    </comment>
    <comment authorId="0" ref="H457">
      <text>
        <t xml:space="preserve">Interés del período = capital inicial × tasa mensual, redondeado a dos decimales.</t>
      </text>
    </comment>
    <comment authorId="0" ref="I457">
      <text>
        <t xml:space="preserve">Capital e interés pactados. La última cuota ajusta el saldo por redondeo.</t>
      </text>
    </comment>
    <comment authorId="0" ref="J457">
      <text>
        <t xml:space="preserve">Capital amortizado TEÓRICO = cuota base − interés, limitado al saldo.</t>
      </text>
    </comment>
    <comment authorId="0" ref="K457">
      <text>
        <t xml:space="preserve">Seguro y otros cargos fijos del mes.</t>
      </text>
    </comment>
    <comment authorId="0" ref="L457">
      <text>
        <t xml:space="preserve">Cuota base + cargos.</t>
      </text>
    </comment>
    <comment authorId="0" ref="M457">
      <text>
        <t xml:space="preserve">Capital final del calendario teórico. No equivale al saldo real si hay pagos parciales o atrasos.</t>
      </text>
    </comment>
    <comment authorId="0" ref="N457">
      <text>
        <t xml:space="preserve">Suma de pagos válidos del mismo ID y cuota con fecha igual o anterior al corte.</t>
      </text>
    </comment>
    <comment authorId="0" ref="O457">
      <text>
        <t xml:space="preserve">MIN(amortización pactada; MAX(0; pagado − cargos − interés)). No imputa excedentes a otras cuotas.</t>
      </text>
    </comment>
    <comment authorId="0" ref="P457">
      <text>
        <t xml:space="preserve">MAX(0; total pactado − pagado a esta cuota). Incluye capital, interés y cargos pendientes de ESA cuota.</t>
      </text>
    </comment>
    <comment authorId="0" ref="Q457">
      <text>
        <t xml:space="preserve">Días desde vencimiento hasta corte, solo si venció antes del corte y sigue con saldo.</t>
      </text>
    </comment>
    <comment authorId="0" ref="R457">
      <text>
        <t xml:space="preserve">MAX(0; pagado − cuota pactada). Exceso para revisar: no se traspasa a otra cuota.</t>
      </text>
    </comment>
    <comment authorId="0" ref="S457">
      <text>
        <t xml:space="preserve">Pagada, Vencida, Vence hoy, Por vencer o Exceso sin imputar según fecha y saldo al corte.</t>
      </text>
    </comment>
    <comment authorId="0" ref="T457">
      <text>
        <t xml:space="preserve">Auxiliar para encontrar la primera cuota pendiente. El 999999 indica que esta cuota no tiene saldo pendiente o está fuera del plazo, y no es una fecha real.</t>
      </text>
    </comment>
    <comment authorId="0" ref="C458">
      <text>
        <t xml:space="preserve">Crédito al que corresponde esta cuota.</t>
      </text>
    </comment>
    <comment authorId="0" ref="D458">
      <text>
        <t xml:space="preserve">Número de cuota dentro del crédito.</t>
      </text>
    </comment>
    <comment authorId="0" ref="E458">
      <text>
        <t xml:space="preserve">Fecha según EDATE a partir del primer vencimiento. No ajusta automáticamente feriados.</t>
      </text>
    </comment>
    <comment authorId="0" ref="F458">
      <text>
        <t xml:space="preserve">Capital al inicio del período en el calendario ORIGINAL, sin recalcular por pagos reales.</t>
      </text>
    </comment>
    <comment authorId="0" ref="G458">
      <text>
        <t xml:space="preserve">Tasa efectiva del mes según la base ingresada.</t>
      </text>
    </comment>
    <comment authorId="0" ref="H458">
      <text>
        <t xml:space="preserve">Interés del período = capital inicial × tasa mensual, redondeado a dos decimales.</t>
      </text>
    </comment>
    <comment authorId="0" ref="I458">
      <text>
        <t xml:space="preserve">Capital e interés pactados. La última cuota ajusta el saldo por redondeo.</t>
      </text>
    </comment>
    <comment authorId="0" ref="J458">
      <text>
        <t xml:space="preserve">Capital amortizado TEÓRICO = cuota base − interés, limitado al saldo.</t>
      </text>
    </comment>
    <comment authorId="0" ref="K458">
      <text>
        <t xml:space="preserve">Seguro y otros cargos fijos del mes.</t>
      </text>
    </comment>
    <comment authorId="0" ref="L458">
      <text>
        <t xml:space="preserve">Cuota base + cargos.</t>
      </text>
    </comment>
    <comment authorId="0" ref="M458">
      <text>
        <t xml:space="preserve">Capital final del calendario teórico. No equivale al saldo real si hay pagos parciales o atrasos.</t>
      </text>
    </comment>
    <comment authorId="0" ref="N458">
      <text>
        <t xml:space="preserve">Suma de pagos válidos del mismo ID y cuota con fecha igual o anterior al corte.</t>
      </text>
    </comment>
    <comment authorId="0" ref="O458">
      <text>
        <t xml:space="preserve">MIN(amortización pactada; MAX(0; pagado − cargos − interés)). No imputa excedentes a otras cuotas.</t>
      </text>
    </comment>
    <comment authorId="0" ref="P458">
      <text>
        <t xml:space="preserve">MAX(0; total pactado − pagado a esta cuota). Incluye capital, interés y cargos pendientes de ESA cuota.</t>
      </text>
    </comment>
    <comment authorId="0" ref="Q458">
      <text>
        <t xml:space="preserve">Días desde vencimiento hasta corte, solo si venció antes del corte y sigue con saldo.</t>
      </text>
    </comment>
    <comment authorId="0" ref="R458">
      <text>
        <t xml:space="preserve">MAX(0; pagado − cuota pactada). Exceso para revisar: no se traspasa a otra cuota.</t>
      </text>
    </comment>
    <comment authorId="0" ref="S458">
      <text>
        <t xml:space="preserve">Pagada, Vencida, Vence hoy, Por vencer o Exceso sin imputar según fecha y saldo al corte.</t>
      </text>
    </comment>
    <comment authorId="0" ref="T458">
      <text>
        <t xml:space="preserve">Auxiliar para encontrar la primera cuota pendiente. El 999999 indica que esta cuota no tiene saldo pendiente o está fuera del plazo, y no es una fecha real.</t>
      </text>
    </comment>
    <comment authorId="0" ref="C459">
      <text>
        <t xml:space="preserve">Crédito al que corresponde esta cuota.</t>
      </text>
    </comment>
    <comment authorId="0" ref="D459">
      <text>
        <t xml:space="preserve">Número de cuota dentro del crédito.</t>
      </text>
    </comment>
    <comment authorId="0" ref="E459">
      <text>
        <t xml:space="preserve">Fecha según EDATE a partir del primer vencimiento. No ajusta automáticamente feriados.</t>
      </text>
    </comment>
    <comment authorId="0" ref="F459">
      <text>
        <t xml:space="preserve">Capital al inicio del período en el calendario ORIGINAL, sin recalcular por pagos reales.</t>
      </text>
    </comment>
    <comment authorId="0" ref="G459">
      <text>
        <t xml:space="preserve">Tasa efectiva del mes según la base ingresada.</t>
      </text>
    </comment>
    <comment authorId="0" ref="H459">
      <text>
        <t xml:space="preserve">Interés del período = capital inicial × tasa mensual, redondeado a dos decimales.</t>
      </text>
    </comment>
    <comment authorId="0" ref="I459">
      <text>
        <t xml:space="preserve">Capital e interés pactados. La última cuota ajusta el saldo por redondeo.</t>
      </text>
    </comment>
    <comment authorId="0" ref="J459">
      <text>
        <t xml:space="preserve">Capital amortizado TEÓRICO = cuota base − interés, limitado al saldo.</t>
      </text>
    </comment>
    <comment authorId="0" ref="K459">
      <text>
        <t xml:space="preserve">Seguro y otros cargos fijos del mes.</t>
      </text>
    </comment>
    <comment authorId="0" ref="L459">
      <text>
        <t xml:space="preserve">Cuota base + cargos.</t>
      </text>
    </comment>
    <comment authorId="0" ref="M459">
      <text>
        <t xml:space="preserve">Capital final del calendario teórico. No equivale al saldo real si hay pagos parciales o atrasos.</t>
      </text>
    </comment>
    <comment authorId="0" ref="N459">
      <text>
        <t xml:space="preserve">Suma de pagos válidos del mismo ID y cuota con fecha igual o anterior al corte.</t>
      </text>
    </comment>
    <comment authorId="0" ref="O459">
      <text>
        <t xml:space="preserve">MIN(amortización pactada; MAX(0; pagado − cargos − interés)). No imputa excedentes a otras cuotas.</t>
      </text>
    </comment>
    <comment authorId="0" ref="P459">
      <text>
        <t xml:space="preserve">MAX(0; total pactado − pagado a esta cuota). Incluye capital, interés y cargos pendientes de ESA cuota.</t>
      </text>
    </comment>
    <comment authorId="0" ref="Q459">
      <text>
        <t xml:space="preserve">Días desde vencimiento hasta corte, solo si venció antes del corte y sigue con saldo.</t>
      </text>
    </comment>
    <comment authorId="0" ref="R459">
      <text>
        <t xml:space="preserve">MAX(0; pagado − cuota pactada). Exceso para revisar: no se traspasa a otra cuota.</t>
      </text>
    </comment>
    <comment authorId="0" ref="S459">
      <text>
        <t xml:space="preserve">Pagada, Vencida, Vence hoy, Por vencer o Exceso sin imputar según fecha y saldo al corte.</t>
      </text>
    </comment>
    <comment authorId="0" ref="T459">
      <text>
        <t xml:space="preserve">Auxiliar para encontrar la primera cuota pendiente. El 999999 indica que esta cuota no tiene saldo pendiente o está fuera del plazo, y no es una fecha real.</t>
      </text>
    </comment>
    <comment authorId="0" ref="C460">
      <text>
        <t xml:space="preserve">Crédito al que corresponde esta cuota.</t>
      </text>
    </comment>
    <comment authorId="0" ref="D460">
      <text>
        <t xml:space="preserve">Número de cuota dentro del crédito.</t>
      </text>
    </comment>
    <comment authorId="0" ref="E460">
      <text>
        <t xml:space="preserve">Fecha según EDATE a partir del primer vencimiento. No ajusta automáticamente feriados.</t>
      </text>
    </comment>
    <comment authorId="0" ref="F460">
      <text>
        <t xml:space="preserve">Capital al inicio del período en el calendario ORIGINAL, sin recalcular por pagos reales.</t>
      </text>
    </comment>
    <comment authorId="0" ref="G460">
      <text>
        <t xml:space="preserve">Tasa efectiva del mes según la base ingresada.</t>
      </text>
    </comment>
    <comment authorId="0" ref="H460">
      <text>
        <t xml:space="preserve">Interés del período = capital inicial × tasa mensual, redondeado a dos decimales.</t>
      </text>
    </comment>
    <comment authorId="0" ref="I460">
      <text>
        <t xml:space="preserve">Capital e interés pactados. La última cuota ajusta el saldo por redondeo.</t>
      </text>
    </comment>
    <comment authorId="0" ref="J460">
      <text>
        <t xml:space="preserve">Capital amortizado TEÓRICO = cuota base − interés, limitado al saldo.</t>
      </text>
    </comment>
    <comment authorId="0" ref="K460">
      <text>
        <t xml:space="preserve">Seguro y otros cargos fijos del mes.</t>
      </text>
    </comment>
    <comment authorId="0" ref="L460">
      <text>
        <t xml:space="preserve">Cuota base + cargos.</t>
      </text>
    </comment>
    <comment authorId="0" ref="M460">
      <text>
        <t xml:space="preserve">Capital final del calendario teórico. No equivale al saldo real si hay pagos parciales o atrasos.</t>
      </text>
    </comment>
    <comment authorId="0" ref="N460">
      <text>
        <t xml:space="preserve">Suma de pagos válidos del mismo ID y cuota con fecha igual o anterior al corte.</t>
      </text>
    </comment>
    <comment authorId="0" ref="O460">
      <text>
        <t xml:space="preserve">MIN(amortización pactada; MAX(0; pagado − cargos − interés)). No imputa excedentes a otras cuotas.</t>
      </text>
    </comment>
    <comment authorId="0" ref="P460">
      <text>
        <t xml:space="preserve">MAX(0; total pactado − pagado a esta cuota). Incluye capital, interés y cargos pendientes de ESA cuota.</t>
      </text>
    </comment>
    <comment authorId="0" ref="Q460">
      <text>
        <t xml:space="preserve">Días desde vencimiento hasta corte, solo si venció antes del corte y sigue con saldo.</t>
      </text>
    </comment>
    <comment authorId="0" ref="R460">
      <text>
        <t xml:space="preserve">MAX(0; pagado − cuota pactada). Exceso para revisar: no se traspasa a otra cuota.</t>
      </text>
    </comment>
    <comment authorId="0" ref="S460">
      <text>
        <t xml:space="preserve">Pagada, Vencida, Vence hoy, Por vencer o Exceso sin imputar según fecha y saldo al corte.</t>
      </text>
    </comment>
    <comment authorId="0" ref="T460">
      <text>
        <t xml:space="preserve">Auxiliar para encontrar la primera cuota pendiente. El 999999 indica que esta cuota no tiene saldo pendiente o está fuera del plazo, y no es una fecha real.</t>
      </text>
    </comment>
    <comment authorId="0" ref="C461">
      <text>
        <t xml:space="preserve">Crédito al que corresponde esta cuota.</t>
      </text>
    </comment>
    <comment authorId="0" ref="D461">
      <text>
        <t xml:space="preserve">Número de cuota dentro del crédito.</t>
      </text>
    </comment>
    <comment authorId="0" ref="E461">
      <text>
        <t xml:space="preserve">Fecha según EDATE a partir del primer vencimiento. No ajusta automáticamente feriados.</t>
      </text>
    </comment>
    <comment authorId="0" ref="F461">
      <text>
        <t xml:space="preserve">Capital al inicio del período en el calendario ORIGINAL, sin recalcular por pagos reales.</t>
      </text>
    </comment>
    <comment authorId="0" ref="G461">
      <text>
        <t xml:space="preserve">Tasa efectiva del mes según la base ingresada.</t>
      </text>
    </comment>
    <comment authorId="0" ref="H461">
      <text>
        <t xml:space="preserve">Interés del período = capital inicial × tasa mensual, redondeado a dos decimales.</t>
      </text>
    </comment>
    <comment authorId="0" ref="I461">
      <text>
        <t xml:space="preserve">Capital e interés pactados. La última cuota ajusta el saldo por redondeo.</t>
      </text>
    </comment>
    <comment authorId="0" ref="J461">
      <text>
        <t xml:space="preserve">Capital amortizado TEÓRICO = cuota base − interés, limitado al saldo.</t>
      </text>
    </comment>
    <comment authorId="0" ref="K461">
      <text>
        <t xml:space="preserve">Seguro y otros cargos fijos del mes.</t>
      </text>
    </comment>
    <comment authorId="0" ref="L461">
      <text>
        <t xml:space="preserve">Cuota base + cargos.</t>
      </text>
    </comment>
    <comment authorId="0" ref="M461">
      <text>
        <t xml:space="preserve">Capital final del calendario teórico. No equivale al saldo real si hay pagos parciales o atrasos.</t>
      </text>
    </comment>
    <comment authorId="0" ref="N461">
      <text>
        <t xml:space="preserve">Suma de pagos válidos del mismo ID y cuota con fecha igual o anterior al corte.</t>
      </text>
    </comment>
    <comment authorId="0" ref="O461">
      <text>
        <t xml:space="preserve">MIN(amortización pactada; MAX(0; pagado − cargos − interés)). No imputa excedentes a otras cuotas.</t>
      </text>
    </comment>
    <comment authorId="0" ref="P461">
      <text>
        <t xml:space="preserve">MAX(0; total pactado − pagado a esta cuota). Incluye capital, interés y cargos pendientes de ESA cuota.</t>
      </text>
    </comment>
    <comment authorId="0" ref="Q461">
      <text>
        <t xml:space="preserve">Días desde vencimiento hasta corte, solo si venció antes del corte y sigue con saldo.</t>
      </text>
    </comment>
    <comment authorId="0" ref="R461">
      <text>
        <t xml:space="preserve">MAX(0; pagado − cuota pactada). Exceso para revisar: no se traspasa a otra cuota.</t>
      </text>
    </comment>
    <comment authorId="0" ref="S461">
      <text>
        <t xml:space="preserve">Pagada, Vencida, Vence hoy, Por vencer o Exceso sin imputar según fecha y saldo al corte.</t>
      </text>
    </comment>
    <comment authorId="0" ref="T461">
      <text>
        <t xml:space="preserve">Auxiliar para encontrar la primera cuota pendiente. El 999999 indica que esta cuota no tiene saldo pendiente o está fuera del plazo, y no es una fecha real.</t>
      </text>
    </comment>
    <comment authorId="0" ref="C462">
      <text>
        <t xml:space="preserve">Crédito al que corresponde esta cuota.</t>
      </text>
    </comment>
    <comment authorId="0" ref="D462">
      <text>
        <t xml:space="preserve">Número de cuota dentro del crédito.</t>
      </text>
    </comment>
    <comment authorId="0" ref="E462">
      <text>
        <t xml:space="preserve">Fecha según EDATE a partir del primer vencimiento. No ajusta automáticamente feriados.</t>
      </text>
    </comment>
    <comment authorId="0" ref="F462">
      <text>
        <t xml:space="preserve">Capital al inicio del período en el calendario ORIGINAL, sin recalcular por pagos reales.</t>
      </text>
    </comment>
    <comment authorId="0" ref="G462">
      <text>
        <t xml:space="preserve">Tasa efectiva del mes según la base ingresada.</t>
      </text>
    </comment>
    <comment authorId="0" ref="H462">
      <text>
        <t xml:space="preserve">Interés del período = capital inicial × tasa mensual, redondeado a dos decimales.</t>
      </text>
    </comment>
    <comment authorId="0" ref="I462">
      <text>
        <t xml:space="preserve">Capital e interés pactados. La última cuota ajusta el saldo por redondeo.</t>
      </text>
    </comment>
    <comment authorId="0" ref="J462">
      <text>
        <t xml:space="preserve">Capital amortizado TEÓRICO = cuota base − interés, limitado al saldo.</t>
      </text>
    </comment>
    <comment authorId="0" ref="K462">
      <text>
        <t xml:space="preserve">Seguro y otros cargos fijos del mes.</t>
      </text>
    </comment>
    <comment authorId="0" ref="L462">
      <text>
        <t xml:space="preserve">Cuota base + cargos.</t>
      </text>
    </comment>
    <comment authorId="0" ref="M462">
      <text>
        <t xml:space="preserve">Capital final del calendario teórico. No equivale al saldo real si hay pagos parciales o atrasos.</t>
      </text>
    </comment>
    <comment authorId="0" ref="N462">
      <text>
        <t xml:space="preserve">Suma de pagos válidos del mismo ID y cuota con fecha igual o anterior al corte.</t>
      </text>
    </comment>
    <comment authorId="0" ref="O462">
      <text>
        <t xml:space="preserve">MIN(amortización pactada; MAX(0; pagado − cargos − interés)). No imputa excedentes a otras cuotas.</t>
      </text>
    </comment>
    <comment authorId="0" ref="P462">
      <text>
        <t xml:space="preserve">MAX(0; total pactado − pagado a esta cuota). Incluye capital, interés y cargos pendientes de ESA cuota.</t>
      </text>
    </comment>
    <comment authorId="0" ref="Q462">
      <text>
        <t xml:space="preserve">Días desde vencimiento hasta corte, solo si venció antes del corte y sigue con saldo.</t>
      </text>
    </comment>
    <comment authorId="0" ref="R462">
      <text>
        <t xml:space="preserve">MAX(0; pagado − cuota pactada). Exceso para revisar: no se traspasa a otra cuota.</t>
      </text>
    </comment>
    <comment authorId="0" ref="S462">
      <text>
        <t xml:space="preserve">Pagada, Vencida, Vence hoy, Por vencer o Exceso sin imputar según fecha y saldo al corte.</t>
      </text>
    </comment>
    <comment authorId="0" ref="T462">
      <text>
        <t xml:space="preserve">Auxiliar para encontrar la primera cuota pendiente. El 999999 indica que esta cuota no tiene saldo pendiente o está fuera del plazo, y no es una fecha real.</t>
      </text>
    </comment>
    <comment authorId="0" ref="C463">
      <text>
        <t xml:space="preserve">Crédito al que corresponde esta cuota.</t>
      </text>
    </comment>
    <comment authorId="0" ref="D463">
      <text>
        <t xml:space="preserve">Número de cuota dentro del crédito.</t>
      </text>
    </comment>
    <comment authorId="0" ref="E463">
      <text>
        <t xml:space="preserve">Fecha según EDATE a partir del primer vencimiento. No ajusta automáticamente feriados.</t>
      </text>
    </comment>
    <comment authorId="0" ref="F463">
      <text>
        <t xml:space="preserve">Capital al inicio del período en el calendario ORIGINAL, sin recalcular por pagos reales.</t>
      </text>
    </comment>
    <comment authorId="0" ref="G463">
      <text>
        <t xml:space="preserve">Tasa efectiva del mes según la base ingresada.</t>
      </text>
    </comment>
    <comment authorId="0" ref="H463">
      <text>
        <t xml:space="preserve">Interés del período = capital inicial × tasa mensual, redondeado a dos decimales.</t>
      </text>
    </comment>
    <comment authorId="0" ref="I463">
      <text>
        <t xml:space="preserve">Capital e interés pactados. La última cuota ajusta el saldo por redondeo.</t>
      </text>
    </comment>
    <comment authorId="0" ref="J463">
      <text>
        <t xml:space="preserve">Capital amortizado TEÓRICO = cuota base − interés, limitado al saldo.</t>
      </text>
    </comment>
    <comment authorId="0" ref="K463">
      <text>
        <t xml:space="preserve">Seguro y otros cargos fijos del mes.</t>
      </text>
    </comment>
    <comment authorId="0" ref="L463">
      <text>
        <t xml:space="preserve">Cuota base + cargos.</t>
      </text>
    </comment>
    <comment authorId="0" ref="M463">
      <text>
        <t xml:space="preserve">Capital final del calendario teórico. No equivale al saldo real si hay pagos parciales o atrasos.</t>
      </text>
    </comment>
    <comment authorId="0" ref="N463">
      <text>
        <t xml:space="preserve">Suma de pagos válidos del mismo ID y cuota con fecha igual o anterior al corte.</t>
      </text>
    </comment>
    <comment authorId="0" ref="O463">
      <text>
        <t xml:space="preserve">MIN(amortización pactada; MAX(0; pagado − cargos − interés)). No imputa excedentes a otras cuotas.</t>
      </text>
    </comment>
    <comment authorId="0" ref="P463">
      <text>
        <t xml:space="preserve">MAX(0; total pactado − pagado a esta cuota). Incluye capital, interés y cargos pendientes de ESA cuota.</t>
      </text>
    </comment>
    <comment authorId="0" ref="Q463">
      <text>
        <t xml:space="preserve">Días desde vencimiento hasta corte, solo si venció antes del corte y sigue con saldo.</t>
      </text>
    </comment>
    <comment authorId="0" ref="R463">
      <text>
        <t xml:space="preserve">MAX(0; pagado − cuota pactada). Exceso para revisar: no se traspasa a otra cuota.</t>
      </text>
    </comment>
    <comment authorId="0" ref="S463">
      <text>
        <t xml:space="preserve">Pagada, Vencida, Vence hoy, Por vencer o Exceso sin imputar según fecha y saldo al corte.</t>
      </text>
    </comment>
    <comment authorId="0" ref="T463">
      <text>
        <t xml:space="preserve">Auxiliar para encontrar la primera cuota pendiente. El 999999 indica que esta cuota no tiene saldo pendiente o está fuera del plazo, y no es una fecha real.</t>
      </text>
    </comment>
    <comment authorId="0" ref="C464">
      <text>
        <t xml:space="preserve">Crédito al que corresponde esta cuota.</t>
      </text>
    </comment>
    <comment authorId="0" ref="D464">
      <text>
        <t xml:space="preserve">Número de cuota dentro del crédito.</t>
      </text>
    </comment>
    <comment authorId="0" ref="E464">
      <text>
        <t xml:space="preserve">Fecha según EDATE a partir del primer vencimiento. No ajusta automáticamente feriados.</t>
      </text>
    </comment>
    <comment authorId="0" ref="F464">
      <text>
        <t xml:space="preserve">Capital al inicio del período en el calendario ORIGINAL, sin recalcular por pagos reales.</t>
      </text>
    </comment>
    <comment authorId="0" ref="G464">
      <text>
        <t xml:space="preserve">Tasa efectiva del mes según la base ingresada.</t>
      </text>
    </comment>
    <comment authorId="0" ref="H464">
      <text>
        <t xml:space="preserve">Interés del período = capital inicial × tasa mensual, redondeado a dos decimales.</t>
      </text>
    </comment>
    <comment authorId="0" ref="I464">
      <text>
        <t xml:space="preserve">Capital e interés pactados. La última cuota ajusta el saldo por redondeo.</t>
      </text>
    </comment>
    <comment authorId="0" ref="J464">
      <text>
        <t xml:space="preserve">Capital amortizado TEÓRICO = cuota base − interés, limitado al saldo.</t>
      </text>
    </comment>
    <comment authorId="0" ref="K464">
      <text>
        <t xml:space="preserve">Seguro y otros cargos fijos del mes.</t>
      </text>
    </comment>
    <comment authorId="0" ref="L464">
      <text>
        <t xml:space="preserve">Cuota base + cargos.</t>
      </text>
    </comment>
    <comment authorId="0" ref="M464">
      <text>
        <t xml:space="preserve">Capital final del calendario teórico. No equivale al saldo real si hay pagos parciales o atrasos.</t>
      </text>
    </comment>
    <comment authorId="0" ref="N464">
      <text>
        <t xml:space="preserve">Suma de pagos válidos del mismo ID y cuota con fecha igual o anterior al corte.</t>
      </text>
    </comment>
    <comment authorId="0" ref="O464">
      <text>
        <t xml:space="preserve">MIN(amortización pactada; MAX(0; pagado − cargos − interés)). No imputa excedentes a otras cuotas.</t>
      </text>
    </comment>
    <comment authorId="0" ref="P464">
      <text>
        <t xml:space="preserve">MAX(0; total pactado − pagado a esta cuota). Incluye capital, interés y cargos pendientes de ESA cuota.</t>
      </text>
    </comment>
    <comment authorId="0" ref="Q464">
      <text>
        <t xml:space="preserve">Días desde vencimiento hasta corte, solo si venció antes del corte y sigue con saldo.</t>
      </text>
    </comment>
    <comment authorId="0" ref="R464">
      <text>
        <t xml:space="preserve">MAX(0; pagado − cuota pactada). Exceso para revisar: no se traspasa a otra cuota.</t>
      </text>
    </comment>
    <comment authorId="0" ref="S464">
      <text>
        <t xml:space="preserve">Pagada, Vencida, Vence hoy, Por vencer o Exceso sin imputar según fecha y saldo al corte.</t>
      </text>
    </comment>
    <comment authorId="0" ref="T464">
      <text>
        <t xml:space="preserve">Auxiliar para encontrar la primera cuota pendiente. El 999999 indica que esta cuota no tiene saldo pendiente o está fuera del plazo, y no es una fecha real.</t>
      </text>
    </comment>
    <comment authorId="0" ref="C465">
      <text>
        <t xml:space="preserve">Crédito al que corresponde esta cuota.</t>
      </text>
    </comment>
    <comment authorId="0" ref="D465">
      <text>
        <t xml:space="preserve">Número de cuota dentro del crédito.</t>
      </text>
    </comment>
    <comment authorId="0" ref="E465">
      <text>
        <t xml:space="preserve">Fecha según EDATE a partir del primer vencimiento. No ajusta automáticamente feriados.</t>
      </text>
    </comment>
    <comment authorId="0" ref="F465">
      <text>
        <t xml:space="preserve">Capital al inicio del período en el calendario ORIGINAL, sin recalcular por pagos reales.</t>
      </text>
    </comment>
    <comment authorId="0" ref="G465">
      <text>
        <t xml:space="preserve">Tasa efectiva del mes según la base ingresada.</t>
      </text>
    </comment>
    <comment authorId="0" ref="H465">
      <text>
        <t xml:space="preserve">Interés del período = capital inicial × tasa mensual, redondeado a dos decimales.</t>
      </text>
    </comment>
    <comment authorId="0" ref="I465">
      <text>
        <t xml:space="preserve">Capital e interés pactados. La última cuota ajusta el saldo por redondeo.</t>
      </text>
    </comment>
    <comment authorId="0" ref="J465">
      <text>
        <t xml:space="preserve">Capital amortizado TEÓRICO = cuota base − interés, limitado al saldo.</t>
      </text>
    </comment>
    <comment authorId="0" ref="K465">
      <text>
        <t xml:space="preserve">Seguro y otros cargos fijos del mes.</t>
      </text>
    </comment>
    <comment authorId="0" ref="L465">
      <text>
        <t xml:space="preserve">Cuota base + cargos.</t>
      </text>
    </comment>
    <comment authorId="0" ref="M465">
      <text>
        <t xml:space="preserve">Capital final del calendario teórico. No equivale al saldo real si hay pagos parciales o atrasos.</t>
      </text>
    </comment>
    <comment authorId="0" ref="N465">
      <text>
        <t xml:space="preserve">Suma de pagos válidos del mismo ID y cuota con fecha igual o anterior al corte.</t>
      </text>
    </comment>
    <comment authorId="0" ref="O465">
      <text>
        <t xml:space="preserve">MIN(amortización pactada; MAX(0; pagado − cargos − interés)). No imputa excedentes a otras cuotas.</t>
      </text>
    </comment>
    <comment authorId="0" ref="P465">
      <text>
        <t xml:space="preserve">MAX(0; total pactado − pagado a esta cuota). Incluye capital, interés y cargos pendientes de ESA cuota.</t>
      </text>
    </comment>
    <comment authorId="0" ref="Q465">
      <text>
        <t xml:space="preserve">Días desde vencimiento hasta corte, solo si venció antes del corte y sigue con saldo.</t>
      </text>
    </comment>
    <comment authorId="0" ref="R465">
      <text>
        <t xml:space="preserve">MAX(0; pagado − cuota pactada). Exceso para revisar: no se traspasa a otra cuota.</t>
      </text>
    </comment>
    <comment authorId="0" ref="S465">
      <text>
        <t xml:space="preserve">Pagada, Vencida, Vence hoy, Por vencer o Exceso sin imputar según fecha y saldo al corte.</t>
      </text>
    </comment>
    <comment authorId="0" ref="T465">
      <text>
        <t xml:space="preserve">Auxiliar para encontrar la primera cuota pendiente. El 999999 indica que esta cuota no tiene saldo pendiente o está fuera del plazo, y no es una fecha real.</t>
      </text>
    </comment>
    <comment authorId="0" ref="C466">
      <text>
        <t xml:space="preserve">Crédito al que corresponde esta cuota.</t>
      </text>
    </comment>
    <comment authorId="0" ref="D466">
      <text>
        <t xml:space="preserve">Número de cuota dentro del crédito.</t>
      </text>
    </comment>
    <comment authorId="0" ref="E466">
      <text>
        <t xml:space="preserve">Fecha según EDATE a partir del primer vencimiento. No ajusta automáticamente feriados.</t>
      </text>
    </comment>
    <comment authorId="0" ref="F466">
      <text>
        <t xml:space="preserve">Capital al inicio del período en el calendario ORIGINAL, sin recalcular por pagos reales.</t>
      </text>
    </comment>
    <comment authorId="0" ref="G466">
      <text>
        <t xml:space="preserve">Tasa efectiva del mes según la base ingresada.</t>
      </text>
    </comment>
    <comment authorId="0" ref="H466">
      <text>
        <t xml:space="preserve">Interés del período = capital inicial × tasa mensual, redondeado a dos decimales.</t>
      </text>
    </comment>
    <comment authorId="0" ref="I466">
      <text>
        <t xml:space="preserve">Capital e interés pactados. La última cuota ajusta el saldo por redondeo.</t>
      </text>
    </comment>
    <comment authorId="0" ref="J466">
      <text>
        <t xml:space="preserve">Capital amortizado TEÓRICO = cuota base − interés, limitado al saldo.</t>
      </text>
    </comment>
    <comment authorId="0" ref="K466">
      <text>
        <t xml:space="preserve">Seguro y otros cargos fijos del mes.</t>
      </text>
    </comment>
    <comment authorId="0" ref="L466">
      <text>
        <t xml:space="preserve">Cuota base + cargos.</t>
      </text>
    </comment>
    <comment authorId="0" ref="M466">
      <text>
        <t xml:space="preserve">Capital final del calendario teórico. No equivale al saldo real si hay pagos parciales o atrasos.</t>
      </text>
    </comment>
    <comment authorId="0" ref="N466">
      <text>
        <t xml:space="preserve">Suma de pagos válidos del mismo ID y cuota con fecha igual o anterior al corte.</t>
      </text>
    </comment>
    <comment authorId="0" ref="O466">
      <text>
        <t xml:space="preserve">MIN(amortización pactada; MAX(0; pagado − cargos − interés)). No imputa excedentes a otras cuotas.</t>
      </text>
    </comment>
    <comment authorId="0" ref="P466">
      <text>
        <t xml:space="preserve">MAX(0; total pactado − pagado a esta cuota). Incluye capital, interés y cargos pendientes de ESA cuota.</t>
      </text>
    </comment>
    <comment authorId="0" ref="Q466">
      <text>
        <t xml:space="preserve">Días desde vencimiento hasta corte, solo si venció antes del corte y sigue con saldo.</t>
      </text>
    </comment>
    <comment authorId="0" ref="R466">
      <text>
        <t xml:space="preserve">MAX(0; pagado − cuota pactada). Exceso para revisar: no se traspasa a otra cuota.</t>
      </text>
    </comment>
    <comment authorId="0" ref="S466">
      <text>
        <t xml:space="preserve">Pagada, Vencida, Vence hoy, Por vencer o Exceso sin imputar según fecha y saldo al corte.</t>
      </text>
    </comment>
    <comment authorId="0" ref="T466">
      <text>
        <t xml:space="preserve">Auxiliar para encontrar la primera cuota pendiente. El 999999 indica que esta cuota no tiene saldo pendiente o está fuera del plazo, y no es una fecha real.</t>
      </text>
    </comment>
    <comment authorId="0" ref="C467">
      <text>
        <t xml:space="preserve">Crédito al que corresponde esta cuota.</t>
      </text>
    </comment>
    <comment authorId="0" ref="D467">
      <text>
        <t xml:space="preserve">Número de cuota dentro del crédito.</t>
      </text>
    </comment>
    <comment authorId="0" ref="E467">
      <text>
        <t xml:space="preserve">Fecha según EDATE a partir del primer vencimiento. No ajusta automáticamente feriados.</t>
      </text>
    </comment>
    <comment authorId="0" ref="F467">
      <text>
        <t xml:space="preserve">Capital al inicio del período en el calendario ORIGINAL, sin recalcular por pagos reales.</t>
      </text>
    </comment>
    <comment authorId="0" ref="G467">
      <text>
        <t xml:space="preserve">Tasa efectiva del mes según la base ingresada.</t>
      </text>
    </comment>
    <comment authorId="0" ref="H467">
      <text>
        <t xml:space="preserve">Interés del período = capital inicial × tasa mensual, redondeado a dos decimales.</t>
      </text>
    </comment>
    <comment authorId="0" ref="I467">
      <text>
        <t xml:space="preserve">Capital e interés pactados. La última cuota ajusta el saldo por redondeo.</t>
      </text>
    </comment>
    <comment authorId="0" ref="J467">
      <text>
        <t xml:space="preserve">Capital amortizado TEÓRICO = cuota base − interés, limitado al saldo.</t>
      </text>
    </comment>
    <comment authorId="0" ref="K467">
      <text>
        <t xml:space="preserve">Seguro y otros cargos fijos del mes.</t>
      </text>
    </comment>
    <comment authorId="0" ref="L467">
      <text>
        <t xml:space="preserve">Cuota base + cargos.</t>
      </text>
    </comment>
    <comment authorId="0" ref="M467">
      <text>
        <t xml:space="preserve">Capital final del calendario teórico. No equivale al saldo real si hay pagos parciales o atrasos.</t>
      </text>
    </comment>
    <comment authorId="0" ref="N467">
      <text>
        <t xml:space="preserve">Suma de pagos válidos del mismo ID y cuota con fecha igual o anterior al corte.</t>
      </text>
    </comment>
    <comment authorId="0" ref="O467">
      <text>
        <t xml:space="preserve">MIN(amortización pactada; MAX(0; pagado − cargos − interés)). No imputa excedentes a otras cuotas.</t>
      </text>
    </comment>
    <comment authorId="0" ref="P467">
      <text>
        <t xml:space="preserve">MAX(0; total pactado − pagado a esta cuota). Incluye capital, interés y cargos pendientes de ESA cuota.</t>
      </text>
    </comment>
    <comment authorId="0" ref="Q467">
      <text>
        <t xml:space="preserve">Días desde vencimiento hasta corte, solo si venció antes del corte y sigue con saldo.</t>
      </text>
    </comment>
    <comment authorId="0" ref="R467">
      <text>
        <t xml:space="preserve">MAX(0; pagado − cuota pactada). Exceso para revisar: no se traspasa a otra cuota.</t>
      </text>
    </comment>
    <comment authorId="0" ref="S467">
      <text>
        <t xml:space="preserve">Pagada, Vencida, Vence hoy, Por vencer o Exceso sin imputar según fecha y saldo al corte.</t>
      </text>
    </comment>
    <comment authorId="0" ref="T467">
      <text>
        <t xml:space="preserve">Auxiliar para encontrar la primera cuota pendiente. El 999999 indica que esta cuota no tiene saldo pendiente o está fuera del plazo, y no es una fecha real.</t>
      </text>
    </comment>
    <comment authorId="0" ref="C468">
      <text>
        <t xml:space="preserve">Crédito al que corresponde esta cuota.</t>
      </text>
    </comment>
    <comment authorId="0" ref="D468">
      <text>
        <t xml:space="preserve">Número de cuota dentro del crédito.</t>
      </text>
    </comment>
    <comment authorId="0" ref="E468">
      <text>
        <t xml:space="preserve">Fecha según EDATE a partir del primer vencimiento. No ajusta automáticamente feriados.</t>
      </text>
    </comment>
    <comment authorId="0" ref="F468">
      <text>
        <t xml:space="preserve">Capital al inicio del período en el calendario ORIGINAL, sin recalcular por pagos reales.</t>
      </text>
    </comment>
    <comment authorId="0" ref="G468">
      <text>
        <t xml:space="preserve">Tasa efectiva del mes según la base ingresada.</t>
      </text>
    </comment>
    <comment authorId="0" ref="H468">
      <text>
        <t xml:space="preserve">Interés del período = capital inicial × tasa mensual, redondeado a dos decimales.</t>
      </text>
    </comment>
    <comment authorId="0" ref="I468">
      <text>
        <t xml:space="preserve">Capital e interés pactados. La última cuota ajusta el saldo por redondeo.</t>
      </text>
    </comment>
    <comment authorId="0" ref="J468">
      <text>
        <t xml:space="preserve">Capital amortizado TEÓRICO = cuota base − interés, limitado al saldo.</t>
      </text>
    </comment>
    <comment authorId="0" ref="K468">
      <text>
        <t xml:space="preserve">Seguro y otros cargos fijos del mes.</t>
      </text>
    </comment>
    <comment authorId="0" ref="L468">
      <text>
        <t xml:space="preserve">Cuota base + cargos.</t>
      </text>
    </comment>
    <comment authorId="0" ref="M468">
      <text>
        <t xml:space="preserve">Capital final del calendario teórico. No equivale al saldo real si hay pagos parciales o atrasos.</t>
      </text>
    </comment>
    <comment authorId="0" ref="N468">
      <text>
        <t xml:space="preserve">Suma de pagos válidos del mismo ID y cuota con fecha igual o anterior al corte.</t>
      </text>
    </comment>
    <comment authorId="0" ref="O468">
      <text>
        <t xml:space="preserve">MIN(amortización pactada; MAX(0; pagado − cargos − interés)). No imputa excedentes a otras cuotas.</t>
      </text>
    </comment>
    <comment authorId="0" ref="P468">
      <text>
        <t xml:space="preserve">MAX(0; total pactado − pagado a esta cuota). Incluye capital, interés y cargos pendientes de ESA cuota.</t>
      </text>
    </comment>
    <comment authorId="0" ref="Q468">
      <text>
        <t xml:space="preserve">Días desde vencimiento hasta corte, solo si venció antes del corte y sigue con saldo.</t>
      </text>
    </comment>
    <comment authorId="0" ref="R468">
      <text>
        <t xml:space="preserve">MAX(0; pagado − cuota pactada). Exceso para revisar: no se traspasa a otra cuota.</t>
      </text>
    </comment>
    <comment authorId="0" ref="S468">
      <text>
        <t xml:space="preserve">Pagada, Vencida, Vence hoy, Por vencer o Exceso sin imputar según fecha y saldo al corte.</t>
      </text>
    </comment>
    <comment authorId="0" ref="T468">
      <text>
        <t xml:space="preserve">Auxiliar para encontrar la primera cuota pendiente. El 999999 indica que esta cuota no tiene saldo pendiente o está fuera del plazo, y no es una fecha real.</t>
      </text>
    </comment>
    <comment authorId="0" ref="C469">
      <text>
        <t xml:space="preserve">Crédito al que corresponde esta cuota.</t>
      </text>
    </comment>
    <comment authorId="0" ref="D469">
      <text>
        <t xml:space="preserve">Número de cuota dentro del crédito.</t>
      </text>
    </comment>
    <comment authorId="0" ref="E469">
      <text>
        <t xml:space="preserve">Fecha según EDATE a partir del primer vencimiento. No ajusta automáticamente feriados.</t>
      </text>
    </comment>
    <comment authorId="0" ref="F469">
      <text>
        <t xml:space="preserve">Capital al inicio del período en el calendario ORIGINAL, sin recalcular por pagos reales.</t>
      </text>
    </comment>
    <comment authorId="0" ref="G469">
      <text>
        <t xml:space="preserve">Tasa efectiva del mes según la base ingresada.</t>
      </text>
    </comment>
    <comment authorId="0" ref="H469">
      <text>
        <t xml:space="preserve">Interés del período = capital inicial × tasa mensual, redondeado a dos decimales.</t>
      </text>
    </comment>
    <comment authorId="0" ref="I469">
      <text>
        <t xml:space="preserve">Capital e interés pactados. La última cuota ajusta el saldo por redondeo.</t>
      </text>
    </comment>
    <comment authorId="0" ref="J469">
      <text>
        <t xml:space="preserve">Capital amortizado TEÓRICO = cuota base − interés, limitado al saldo.</t>
      </text>
    </comment>
    <comment authorId="0" ref="K469">
      <text>
        <t xml:space="preserve">Seguro y otros cargos fijos del mes.</t>
      </text>
    </comment>
    <comment authorId="0" ref="L469">
      <text>
        <t xml:space="preserve">Cuota base + cargos.</t>
      </text>
    </comment>
    <comment authorId="0" ref="M469">
      <text>
        <t xml:space="preserve">Capital final del calendario teórico. No equivale al saldo real si hay pagos parciales o atrasos.</t>
      </text>
    </comment>
    <comment authorId="0" ref="N469">
      <text>
        <t xml:space="preserve">Suma de pagos válidos del mismo ID y cuota con fecha igual o anterior al corte.</t>
      </text>
    </comment>
    <comment authorId="0" ref="O469">
      <text>
        <t xml:space="preserve">MIN(amortización pactada; MAX(0; pagado − cargos − interés)). No imputa excedentes a otras cuotas.</t>
      </text>
    </comment>
    <comment authorId="0" ref="P469">
      <text>
        <t xml:space="preserve">MAX(0; total pactado − pagado a esta cuota). Incluye capital, interés y cargos pendientes de ESA cuota.</t>
      </text>
    </comment>
    <comment authorId="0" ref="Q469">
      <text>
        <t xml:space="preserve">Días desde vencimiento hasta corte, solo si venció antes del corte y sigue con saldo.</t>
      </text>
    </comment>
    <comment authorId="0" ref="R469">
      <text>
        <t xml:space="preserve">MAX(0; pagado − cuota pactada). Exceso para revisar: no se traspasa a otra cuota.</t>
      </text>
    </comment>
    <comment authorId="0" ref="S469">
      <text>
        <t xml:space="preserve">Pagada, Vencida, Vence hoy, Por vencer o Exceso sin imputar según fecha y saldo al corte.</t>
      </text>
    </comment>
    <comment authorId="0" ref="T469">
      <text>
        <t xml:space="preserve">Auxiliar para encontrar la primera cuota pendiente. El 999999 indica que esta cuota no tiene saldo pendiente o está fuera del plazo, y no es una fecha real.</t>
      </text>
    </comment>
    <comment authorId="0" ref="C470">
      <text>
        <t xml:space="preserve">Crédito al que corresponde esta cuota.</t>
      </text>
    </comment>
    <comment authorId="0" ref="D470">
      <text>
        <t xml:space="preserve">Número de cuota dentro del crédito.</t>
      </text>
    </comment>
    <comment authorId="0" ref="E470">
      <text>
        <t xml:space="preserve">Fecha según EDATE a partir del primer vencimiento. No ajusta automáticamente feriados.</t>
      </text>
    </comment>
    <comment authorId="0" ref="F470">
      <text>
        <t xml:space="preserve">Capital al inicio del período en el calendario ORIGINAL, sin recalcular por pagos reales.</t>
      </text>
    </comment>
    <comment authorId="0" ref="G470">
      <text>
        <t xml:space="preserve">Tasa efectiva del mes según la base ingresada.</t>
      </text>
    </comment>
    <comment authorId="0" ref="H470">
      <text>
        <t xml:space="preserve">Interés del período = capital inicial × tasa mensual, redondeado a dos decimales.</t>
      </text>
    </comment>
    <comment authorId="0" ref="I470">
      <text>
        <t xml:space="preserve">Capital e interés pactados. La última cuota ajusta el saldo por redondeo.</t>
      </text>
    </comment>
    <comment authorId="0" ref="J470">
      <text>
        <t xml:space="preserve">Capital amortizado TEÓRICO = cuota base − interés, limitado al saldo.</t>
      </text>
    </comment>
    <comment authorId="0" ref="K470">
      <text>
        <t xml:space="preserve">Seguro y otros cargos fijos del mes.</t>
      </text>
    </comment>
    <comment authorId="0" ref="L470">
      <text>
        <t xml:space="preserve">Cuota base + cargos.</t>
      </text>
    </comment>
    <comment authorId="0" ref="M470">
      <text>
        <t xml:space="preserve">Capital final del calendario teórico. No equivale al saldo real si hay pagos parciales o atrasos.</t>
      </text>
    </comment>
    <comment authorId="0" ref="N470">
      <text>
        <t xml:space="preserve">Suma de pagos válidos del mismo ID y cuota con fecha igual o anterior al corte.</t>
      </text>
    </comment>
    <comment authorId="0" ref="O470">
      <text>
        <t xml:space="preserve">MIN(amortización pactada; MAX(0; pagado − cargos − interés)). No imputa excedentes a otras cuotas.</t>
      </text>
    </comment>
    <comment authorId="0" ref="P470">
      <text>
        <t xml:space="preserve">MAX(0; total pactado − pagado a esta cuota). Incluye capital, interés y cargos pendientes de ESA cuota.</t>
      </text>
    </comment>
    <comment authorId="0" ref="Q470">
      <text>
        <t xml:space="preserve">Días desde vencimiento hasta corte, solo si venció antes del corte y sigue con saldo.</t>
      </text>
    </comment>
    <comment authorId="0" ref="R470">
      <text>
        <t xml:space="preserve">MAX(0; pagado − cuota pactada). Exceso para revisar: no se traspasa a otra cuota.</t>
      </text>
    </comment>
    <comment authorId="0" ref="S470">
      <text>
        <t xml:space="preserve">Pagada, Vencida, Vence hoy, Por vencer o Exceso sin imputar según fecha y saldo al corte.</t>
      </text>
    </comment>
    <comment authorId="0" ref="T470">
      <text>
        <t xml:space="preserve">Auxiliar para encontrar la primera cuota pendiente. El 999999 indica que esta cuota no tiene saldo pendiente o está fuera del plazo, y no es una fecha real.</t>
      </text>
    </comment>
    <comment authorId="0" ref="C471">
      <text>
        <t xml:space="preserve">Crédito al que corresponde esta cuota.</t>
      </text>
    </comment>
    <comment authorId="0" ref="D471">
      <text>
        <t xml:space="preserve">Número de cuota dentro del crédito.</t>
      </text>
    </comment>
    <comment authorId="0" ref="E471">
      <text>
        <t xml:space="preserve">Fecha según EDATE a partir del primer vencimiento. No ajusta automáticamente feriados.</t>
      </text>
    </comment>
    <comment authorId="0" ref="F471">
      <text>
        <t xml:space="preserve">Capital al inicio del período en el calendario ORIGINAL, sin recalcular por pagos reales.</t>
      </text>
    </comment>
    <comment authorId="0" ref="G471">
      <text>
        <t xml:space="preserve">Tasa efectiva del mes según la base ingresada.</t>
      </text>
    </comment>
    <comment authorId="0" ref="H471">
      <text>
        <t xml:space="preserve">Interés del período = capital inicial × tasa mensual, redondeado a dos decimales.</t>
      </text>
    </comment>
    <comment authorId="0" ref="I471">
      <text>
        <t xml:space="preserve">Capital e interés pactados. La última cuota ajusta el saldo por redondeo.</t>
      </text>
    </comment>
    <comment authorId="0" ref="J471">
      <text>
        <t xml:space="preserve">Capital amortizado TEÓRICO = cuota base − interés, limitado al saldo.</t>
      </text>
    </comment>
    <comment authorId="0" ref="K471">
      <text>
        <t xml:space="preserve">Seguro y otros cargos fijos del mes.</t>
      </text>
    </comment>
    <comment authorId="0" ref="L471">
      <text>
        <t xml:space="preserve">Cuota base + cargos.</t>
      </text>
    </comment>
    <comment authorId="0" ref="M471">
      <text>
        <t xml:space="preserve">Capital final del calendario teórico. No equivale al saldo real si hay pagos parciales o atrasos.</t>
      </text>
    </comment>
    <comment authorId="0" ref="N471">
      <text>
        <t xml:space="preserve">Suma de pagos válidos del mismo ID y cuota con fecha igual o anterior al corte.</t>
      </text>
    </comment>
    <comment authorId="0" ref="O471">
      <text>
        <t xml:space="preserve">MIN(amortización pactada; MAX(0; pagado − cargos − interés)). No imputa excedentes a otras cuotas.</t>
      </text>
    </comment>
    <comment authorId="0" ref="P471">
      <text>
        <t xml:space="preserve">MAX(0; total pactado − pagado a esta cuota). Incluye capital, interés y cargos pendientes de ESA cuota.</t>
      </text>
    </comment>
    <comment authorId="0" ref="Q471">
      <text>
        <t xml:space="preserve">Días desde vencimiento hasta corte, solo si venció antes del corte y sigue con saldo.</t>
      </text>
    </comment>
    <comment authorId="0" ref="R471">
      <text>
        <t xml:space="preserve">MAX(0; pagado − cuota pactada). Exceso para revisar: no se traspasa a otra cuota.</t>
      </text>
    </comment>
    <comment authorId="0" ref="S471">
      <text>
        <t xml:space="preserve">Pagada, Vencida, Vence hoy, Por vencer o Exceso sin imputar según fecha y saldo al corte.</t>
      </text>
    </comment>
    <comment authorId="0" ref="T471">
      <text>
        <t xml:space="preserve">Auxiliar para encontrar la primera cuota pendiente. El 999999 indica que esta cuota no tiene saldo pendiente o está fuera del plazo, y no es una fecha real.</t>
      </text>
    </comment>
    <comment authorId="0" ref="C472">
      <text>
        <t xml:space="preserve">Crédito al que corresponde esta cuota.</t>
      </text>
    </comment>
    <comment authorId="0" ref="D472">
      <text>
        <t xml:space="preserve">Número de cuota dentro del crédito.</t>
      </text>
    </comment>
    <comment authorId="0" ref="E472">
      <text>
        <t xml:space="preserve">Fecha según EDATE a partir del primer vencimiento. No ajusta automáticamente feriados.</t>
      </text>
    </comment>
    <comment authorId="0" ref="F472">
      <text>
        <t xml:space="preserve">Capital al inicio del período en el calendario ORIGINAL, sin recalcular por pagos reales.</t>
      </text>
    </comment>
    <comment authorId="0" ref="G472">
      <text>
        <t xml:space="preserve">Tasa efectiva del mes según la base ingresada.</t>
      </text>
    </comment>
    <comment authorId="0" ref="H472">
      <text>
        <t xml:space="preserve">Interés del período = capital inicial × tasa mensual, redondeado a dos decimales.</t>
      </text>
    </comment>
    <comment authorId="0" ref="I472">
      <text>
        <t xml:space="preserve">Capital e interés pactados. La última cuota ajusta el saldo por redondeo.</t>
      </text>
    </comment>
    <comment authorId="0" ref="J472">
      <text>
        <t xml:space="preserve">Capital amortizado TEÓRICO = cuota base − interés, limitado al saldo.</t>
      </text>
    </comment>
    <comment authorId="0" ref="K472">
      <text>
        <t xml:space="preserve">Seguro y otros cargos fijos del mes.</t>
      </text>
    </comment>
    <comment authorId="0" ref="L472">
      <text>
        <t xml:space="preserve">Cuota base + cargos.</t>
      </text>
    </comment>
    <comment authorId="0" ref="M472">
      <text>
        <t xml:space="preserve">Capital final del calendario teórico. No equivale al saldo real si hay pagos parciales o atrasos.</t>
      </text>
    </comment>
    <comment authorId="0" ref="N472">
      <text>
        <t xml:space="preserve">Suma de pagos válidos del mismo ID y cuota con fecha igual o anterior al corte.</t>
      </text>
    </comment>
    <comment authorId="0" ref="O472">
      <text>
        <t xml:space="preserve">MIN(amortización pactada; MAX(0; pagado − cargos − interés)). No imputa excedentes a otras cuotas.</t>
      </text>
    </comment>
    <comment authorId="0" ref="P472">
      <text>
        <t xml:space="preserve">MAX(0; total pactado − pagado a esta cuota). Incluye capital, interés y cargos pendientes de ESA cuota.</t>
      </text>
    </comment>
    <comment authorId="0" ref="Q472">
      <text>
        <t xml:space="preserve">Días desde vencimiento hasta corte, solo si venció antes del corte y sigue con saldo.</t>
      </text>
    </comment>
    <comment authorId="0" ref="R472">
      <text>
        <t xml:space="preserve">MAX(0; pagado − cuota pactada). Exceso para revisar: no se traspasa a otra cuota.</t>
      </text>
    </comment>
    <comment authorId="0" ref="S472">
      <text>
        <t xml:space="preserve">Pagada, Vencida, Vence hoy, Por vencer o Exceso sin imputar según fecha y saldo al corte.</t>
      </text>
    </comment>
    <comment authorId="0" ref="T472">
      <text>
        <t xml:space="preserve">Auxiliar para encontrar la primera cuota pendiente. El 999999 indica que esta cuota no tiene saldo pendiente o está fuera del plazo, y no es una fecha real.</t>
      </text>
    </comment>
    <comment authorId="0" ref="C473">
      <text>
        <t xml:space="preserve">Crédito al que corresponde esta cuota.</t>
      </text>
    </comment>
    <comment authorId="0" ref="D473">
      <text>
        <t xml:space="preserve">Número de cuota dentro del crédito.</t>
      </text>
    </comment>
    <comment authorId="0" ref="E473">
      <text>
        <t xml:space="preserve">Fecha según EDATE a partir del primer vencimiento. No ajusta automáticamente feriados.</t>
      </text>
    </comment>
    <comment authorId="0" ref="F473">
      <text>
        <t xml:space="preserve">Capital al inicio del período en el calendario ORIGINAL, sin recalcular por pagos reales.</t>
      </text>
    </comment>
    <comment authorId="0" ref="G473">
      <text>
        <t xml:space="preserve">Tasa efectiva del mes según la base ingresada.</t>
      </text>
    </comment>
    <comment authorId="0" ref="H473">
      <text>
        <t xml:space="preserve">Interés del período = capital inicial × tasa mensual, redondeado a dos decimales.</t>
      </text>
    </comment>
    <comment authorId="0" ref="I473">
      <text>
        <t xml:space="preserve">Capital e interés pactados. La última cuota ajusta el saldo por redondeo.</t>
      </text>
    </comment>
    <comment authorId="0" ref="J473">
      <text>
        <t xml:space="preserve">Capital amortizado TEÓRICO = cuota base − interés, limitado al saldo.</t>
      </text>
    </comment>
    <comment authorId="0" ref="K473">
      <text>
        <t xml:space="preserve">Seguro y otros cargos fijos del mes.</t>
      </text>
    </comment>
    <comment authorId="0" ref="L473">
      <text>
        <t xml:space="preserve">Cuota base + cargos.</t>
      </text>
    </comment>
    <comment authorId="0" ref="M473">
      <text>
        <t xml:space="preserve">Capital final del calendario teórico. No equivale al saldo real si hay pagos parciales o atrasos.</t>
      </text>
    </comment>
    <comment authorId="0" ref="N473">
      <text>
        <t xml:space="preserve">Suma de pagos válidos del mismo ID y cuota con fecha igual o anterior al corte.</t>
      </text>
    </comment>
    <comment authorId="0" ref="O473">
      <text>
        <t xml:space="preserve">MIN(amortización pactada; MAX(0; pagado − cargos − interés)). No imputa excedentes a otras cuotas.</t>
      </text>
    </comment>
    <comment authorId="0" ref="P473">
      <text>
        <t xml:space="preserve">MAX(0; total pactado − pagado a esta cuota). Incluye capital, interés y cargos pendientes de ESA cuota.</t>
      </text>
    </comment>
    <comment authorId="0" ref="Q473">
      <text>
        <t xml:space="preserve">Días desde vencimiento hasta corte, solo si venció antes del corte y sigue con saldo.</t>
      </text>
    </comment>
    <comment authorId="0" ref="R473">
      <text>
        <t xml:space="preserve">MAX(0; pagado − cuota pactada). Exceso para revisar: no se traspasa a otra cuota.</t>
      </text>
    </comment>
    <comment authorId="0" ref="S473">
      <text>
        <t xml:space="preserve">Pagada, Vencida, Vence hoy, Por vencer o Exceso sin imputar según fecha y saldo al corte.</t>
      </text>
    </comment>
    <comment authorId="0" ref="T473">
      <text>
        <t xml:space="preserve">Auxiliar para encontrar la primera cuota pendiente. El 999999 indica que esta cuota no tiene saldo pendiente o está fuera del plazo, y no es una fecha real.</t>
      </text>
    </comment>
    <comment authorId="0" ref="C474">
      <text>
        <t xml:space="preserve">Crédito al que corresponde esta cuota.</t>
      </text>
    </comment>
    <comment authorId="0" ref="D474">
      <text>
        <t xml:space="preserve">Número de cuota dentro del crédito.</t>
      </text>
    </comment>
    <comment authorId="0" ref="E474">
      <text>
        <t xml:space="preserve">Fecha según EDATE a partir del primer vencimiento. No ajusta automáticamente feriados.</t>
      </text>
    </comment>
    <comment authorId="0" ref="F474">
      <text>
        <t xml:space="preserve">Capital al inicio del período en el calendario ORIGINAL, sin recalcular por pagos reales.</t>
      </text>
    </comment>
    <comment authorId="0" ref="G474">
      <text>
        <t xml:space="preserve">Tasa efectiva del mes según la base ingresada.</t>
      </text>
    </comment>
    <comment authorId="0" ref="H474">
      <text>
        <t xml:space="preserve">Interés del período = capital inicial × tasa mensual, redondeado a dos decimales.</t>
      </text>
    </comment>
    <comment authorId="0" ref="I474">
      <text>
        <t xml:space="preserve">Capital e interés pactados. La última cuota ajusta el saldo por redondeo.</t>
      </text>
    </comment>
    <comment authorId="0" ref="J474">
      <text>
        <t xml:space="preserve">Capital amortizado TEÓRICO = cuota base − interés, limitado al saldo.</t>
      </text>
    </comment>
    <comment authorId="0" ref="K474">
      <text>
        <t xml:space="preserve">Seguro y otros cargos fijos del mes.</t>
      </text>
    </comment>
    <comment authorId="0" ref="L474">
      <text>
        <t xml:space="preserve">Cuota base + cargos.</t>
      </text>
    </comment>
    <comment authorId="0" ref="M474">
      <text>
        <t xml:space="preserve">Capital final del calendario teórico. No equivale al saldo real si hay pagos parciales o atrasos.</t>
      </text>
    </comment>
    <comment authorId="0" ref="N474">
      <text>
        <t xml:space="preserve">Suma de pagos válidos del mismo ID y cuota con fecha igual o anterior al corte.</t>
      </text>
    </comment>
    <comment authorId="0" ref="O474">
      <text>
        <t xml:space="preserve">MIN(amortización pactada; MAX(0; pagado − cargos − interés)). No imputa excedentes a otras cuotas.</t>
      </text>
    </comment>
    <comment authorId="0" ref="P474">
      <text>
        <t xml:space="preserve">MAX(0; total pactado − pagado a esta cuota). Incluye capital, interés y cargos pendientes de ESA cuota.</t>
      </text>
    </comment>
    <comment authorId="0" ref="Q474">
      <text>
        <t xml:space="preserve">Días desde vencimiento hasta corte, solo si venció antes del corte y sigue con saldo.</t>
      </text>
    </comment>
    <comment authorId="0" ref="R474">
      <text>
        <t xml:space="preserve">MAX(0; pagado − cuota pactada). Exceso para revisar: no se traspasa a otra cuota.</t>
      </text>
    </comment>
    <comment authorId="0" ref="S474">
      <text>
        <t xml:space="preserve">Pagada, Vencida, Vence hoy, Por vencer o Exceso sin imputar según fecha y saldo al corte.</t>
      </text>
    </comment>
    <comment authorId="0" ref="T474">
      <text>
        <t xml:space="preserve">Auxiliar para encontrar la primera cuota pendiente. El 999999 indica que esta cuota no tiene saldo pendiente o está fuera del plazo, y no es una fecha real.</t>
      </text>
    </comment>
    <comment authorId="0" ref="C475">
      <text>
        <t xml:space="preserve">Crédito al que corresponde esta cuota.</t>
      </text>
    </comment>
    <comment authorId="0" ref="D475">
      <text>
        <t xml:space="preserve">Número de cuota dentro del crédito.</t>
      </text>
    </comment>
    <comment authorId="0" ref="E475">
      <text>
        <t xml:space="preserve">Fecha según EDATE a partir del primer vencimiento. No ajusta automáticamente feriados.</t>
      </text>
    </comment>
    <comment authorId="0" ref="F475">
      <text>
        <t xml:space="preserve">Capital al inicio del período en el calendario ORIGINAL, sin recalcular por pagos reales.</t>
      </text>
    </comment>
    <comment authorId="0" ref="G475">
      <text>
        <t xml:space="preserve">Tasa efectiva del mes según la base ingresada.</t>
      </text>
    </comment>
    <comment authorId="0" ref="H475">
      <text>
        <t xml:space="preserve">Interés del período = capital inicial × tasa mensual, redondeado a dos decimales.</t>
      </text>
    </comment>
    <comment authorId="0" ref="I475">
      <text>
        <t xml:space="preserve">Capital e interés pactados. La última cuota ajusta el saldo por redondeo.</t>
      </text>
    </comment>
    <comment authorId="0" ref="J475">
      <text>
        <t xml:space="preserve">Capital amortizado TEÓRICO = cuota base − interés, limitado al saldo.</t>
      </text>
    </comment>
    <comment authorId="0" ref="K475">
      <text>
        <t xml:space="preserve">Seguro y otros cargos fijos del mes.</t>
      </text>
    </comment>
    <comment authorId="0" ref="L475">
      <text>
        <t xml:space="preserve">Cuota base + cargos.</t>
      </text>
    </comment>
    <comment authorId="0" ref="M475">
      <text>
        <t xml:space="preserve">Capital final del calendario teórico. No equivale al saldo real si hay pagos parciales o atrasos.</t>
      </text>
    </comment>
    <comment authorId="0" ref="N475">
      <text>
        <t xml:space="preserve">Suma de pagos válidos del mismo ID y cuota con fecha igual o anterior al corte.</t>
      </text>
    </comment>
    <comment authorId="0" ref="O475">
      <text>
        <t xml:space="preserve">MIN(amortización pactada; MAX(0; pagado − cargos − interés)). No imputa excedentes a otras cuotas.</t>
      </text>
    </comment>
    <comment authorId="0" ref="P475">
      <text>
        <t xml:space="preserve">MAX(0; total pactado − pagado a esta cuota). Incluye capital, interés y cargos pendientes de ESA cuota.</t>
      </text>
    </comment>
    <comment authorId="0" ref="Q475">
      <text>
        <t xml:space="preserve">Días desde vencimiento hasta corte, solo si venció antes del corte y sigue con saldo.</t>
      </text>
    </comment>
    <comment authorId="0" ref="R475">
      <text>
        <t xml:space="preserve">MAX(0; pagado − cuota pactada). Exceso para revisar: no se traspasa a otra cuota.</t>
      </text>
    </comment>
    <comment authorId="0" ref="S475">
      <text>
        <t xml:space="preserve">Pagada, Vencida, Vence hoy, Por vencer o Exceso sin imputar según fecha y saldo al corte.</t>
      </text>
    </comment>
    <comment authorId="0" ref="T475">
      <text>
        <t xml:space="preserve">Auxiliar para encontrar la primera cuota pendiente. El 999999 indica que esta cuota no tiene saldo pendiente o está fuera del plazo, y no es una fecha real.</t>
      </text>
    </comment>
    <comment authorId="0" ref="C476">
      <text>
        <t xml:space="preserve">Crédito al que corresponde esta cuota.</t>
      </text>
    </comment>
    <comment authorId="0" ref="D476">
      <text>
        <t xml:space="preserve">Número de cuota dentro del crédito.</t>
      </text>
    </comment>
    <comment authorId="0" ref="E476">
      <text>
        <t xml:space="preserve">Fecha según EDATE a partir del primer vencimiento. No ajusta automáticamente feriados.</t>
      </text>
    </comment>
    <comment authorId="0" ref="F476">
      <text>
        <t xml:space="preserve">Capital al inicio del período en el calendario ORIGINAL, sin recalcular por pagos reales.</t>
      </text>
    </comment>
    <comment authorId="0" ref="G476">
      <text>
        <t xml:space="preserve">Tasa efectiva del mes según la base ingresada.</t>
      </text>
    </comment>
    <comment authorId="0" ref="H476">
      <text>
        <t xml:space="preserve">Interés del período = capital inicial × tasa mensual, redondeado a dos decimales.</t>
      </text>
    </comment>
    <comment authorId="0" ref="I476">
      <text>
        <t xml:space="preserve">Capital e interés pactados. La última cuota ajusta el saldo por redondeo.</t>
      </text>
    </comment>
    <comment authorId="0" ref="J476">
      <text>
        <t xml:space="preserve">Capital amortizado TEÓRICO = cuota base − interés, limitado al saldo.</t>
      </text>
    </comment>
    <comment authorId="0" ref="K476">
      <text>
        <t xml:space="preserve">Seguro y otros cargos fijos del mes.</t>
      </text>
    </comment>
    <comment authorId="0" ref="L476">
      <text>
        <t xml:space="preserve">Cuota base + cargos.</t>
      </text>
    </comment>
    <comment authorId="0" ref="M476">
      <text>
        <t xml:space="preserve">Capital final del calendario teórico. No equivale al saldo real si hay pagos parciales o atrasos.</t>
      </text>
    </comment>
    <comment authorId="0" ref="N476">
      <text>
        <t xml:space="preserve">Suma de pagos válidos del mismo ID y cuota con fecha igual o anterior al corte.</t>
      </text>
    </comment>
    <comment authorId="0" ref="O476">
      <text>
        <t xml:space="preserve">MIN(amortización pactada; MAX(0; pagado − cargos − interés)). No imputa excedentes a otras cuotas.</t>
      </text>
    </comment>
    <comment authorId="0" ref="P476">
      <text>
        <t xml:space="preserve">MAX(0; total pactado − pagado a esta cuota). Incluye capital, interés y cargos pendientes de ESA cuota.</t>
      </text>
    </comment>
    <comment authorId="0" ref="Q476">
      <text>
        <t xml:space="preserve">Días desde vencimiento hasta corte, solo si venció antes del corte y sigue con saldo.</t>
      </text>
    </comment>
    <comment authorId="0" ref="R476">
      <text>
        <t xml:space="preserve">MAX(0; pagado − cuota pactada). Exceso para revisar: no se traspasa a otra cuota.</t>
      </text>
    </comment>
    <comment authorId="0" ref="S476">
      <text>
        <t xml:space="preserve">Pagada, Vencida, Vence hoy, Por vencer o Exceso sin imputar según fecha y saldo al corte.</t>
      </text>
    </comment>
    <comment authorId="0" ref="T476">
      <text>
        <t xml:space="preserve">Auxiliar para encontrar la primera cuota pendiente. El 999999 indica que esta cuota no tiene saldo pendiente o está fuera del plazo, y no es una fecha real.</t>
      </text>
    </comment>
    <comment authorId="0" ref="C477">
      <text>
        <t xml:space="preserve">Crédito al que corresponde esta cuota.</t>
      </text>
    </comment>
    <comment authorId="0" ref="D477">
      <text>
        <t xml:space="preserve">Número de cuota dentro del crédito.</t>
      </text>
    </comment>
    <comment authorId="0" ref="E477">
      <text>
        <t xml:space="preserve">Fecha según EDATE a partir del primer vencimiento. No ajusta automáticamente feriados.</t>
      </text>
    </comment>
    <comment authorId="0" ref="F477">
      <text>
        <t xml:space="preserve">Capital al inicio del período en el calendario ORIGINAL, sin recalcular por pagos reales.</t>
      </text>
    </comment>
    <comment authorId="0" ref="G477">
      <text>
        <t xml:space="preserve">Tasa efectiva del mes según la base ingresada.</t>
      </text>
    </comment>
    <comment authorId="0" ref="H477">
      <text>
        <t xml:space="preserve">Interés del período = capital inicial × tasa mensual, redondeado a dos decimales.</t>
      </text>
    </comment>
    <comment authorId="0" ref="I477">
      <text>
        <t xml:space="preserve">Capital e interés pactados. La última cuota ajusta el saldo por redondeo.</t>
      </text>
    </comment>
    <comment authorId="0" ref="J477">
      <text>
        <t xml:space="preserve">Capital amortizado TEÓRICO = cuota base − interés, limitado al saldo.</t>
      </text>
    </comment>
    <comment authorId="0" ref="K477">
      <text>
        <t xml:space="preserve">Seguro y otros cargos fijos del mes.</t>
      </text>
    </comment>
    <comment authorId="0" ref="L477">
      <text>
        <t xml:space="preserve">Cuota base + cargos.</t>
      </text>
    </comment>
    <comment authorId="0" ref="M477">
      <text>
        <t xml:space="preserve">Capital final del calendario teórico. No equivale al saldo real si hay pagos parciales o atrasos.</t>
      </text>
    </comment>
    <comment authorId="0" ref="N477">
      <text>
        <t xml:space="preserve">Suma de pagos válidos del mismo ID y cuota con fecha igual o anterior al corte.</t>
      </text>
    </comment>
    <comment authorId="0" ref="O477">
      <text>
        <t xml:space="preserve">MIN(amortización pactada; MAX(0; pagado − cargos − interés)). No imputa excedentes a otras cuotas.</t>
      </text>
    </comment>
    <comment authorId="0" ref="P477">
      <text>
        <t xml:space="preserve">MAX(0; total pactado − pagado a esta cuota). Incluye capital, interés y cargos pendientes de ESA cuota.</t>
      </text>
    </comment>
    <comment authorId="0" ref="Q477">
      <text>
        <t xml:space="preserve">Días desde vencimiento hasta corte, solo si venció antes del corte y sigue con saldo.</t>
      </text>
    </comment>
    <comment authorId="0" ref="R477">
      <text>
        <t xml:space="preserve">MAX(0; pagado − cuota pactada). Exceso para revisar: no se traspasa a otra cuota.</t>
      </text>
    </comment>
    <comment authorId="0" ref="S477">
      <text>
        <t xml:space="preserve">Pagada, Vencida, Vence hoy, Por vencer o Exceso sin imputar según fecha y saldo al corte.</t>
      </text>
    </comment>
    <comment authorId="0" ref="T477">
      <text>
        <t xml:space="preserve">Auxiliar para encontrar la primera cuota pendiente. El 999999 indica que esta cuota no tiene saldo pendiente o está fuera del plazo, y no es una fecha real.</t>
      </text>
    </comment>
    <comment authorId="0" ref="C478">
      <text>
        <t xml:space="preserve">Crédito al que corresponde esta cuota.</t>
      </text>
    </comment>
    <comment authorId="0" ref="D478">
      <text>
        <t xml:space="preserve">Número de cuota dentro del crédito.</t>
      </text>
    </comment>
    <comment authorId="0" ref="E478">
      <text>
        <t xml:space="preserve">Fecha según EDATE a partir del primer vencimiento. No ajusta automáticamente feriados.</t>
      </text>
    </comment>
    <comment authorId="0" ref="F478">
      <text>
        <t xml:space="preserve">Capital al inicio del período en el calendario ORIGINAL, sin recalcular por pagos reales.</t>
      </text>
    </comment>
    <comment authorId="0" ref="G478">
      <text>
        <t xml:space="preserve">Tasa efectiva del mes según la base ingresada.</t>
      </text>
    </comment>
    <comment authorId="0" ref="H478">
      <text>
        <t xml:space="preserve">Interés del período = capital inicial × tasa mensual, redondeado a dos decimales.</t>
      </text>
    </comment>
    <comment authorId="0" ref="I478">
      <text>
        <t xml:space="preserve">Capital e interés pactados. La última cuota ajusta el saldo por redondeo.</t>
      </text>
    </comment>
    <comment authorId="0" ref="J478">
      <text>
        <t xml:space="preserve">Capital amortizado TEÓRICO = cuota base − interés, limitado al saldo.</t>
      </text>
    </comment>
    <comment authorId="0" ref="K478">
      <text>
        <t xml:space="preserve">Seguro y otros cargos fijos del mes.</t>
      </text>
    </comment>
    <comment authorId="0" ref="L478">
      <text>
        <t xml:space="preserve">Cuota base + cargos.</t>
      </text>
    </comment>
    <comment authorId="0" ref="M478">
      <text>
        <t xml:space="preserve">Capital final del calendario teórico. No equivale al saldo real si hay pagos parciales o atrasos.</t>
      </text>
    </comment>
    <comment authorId="0" ref="N478">
      <text>
        <t xml:space="preserve">Suma de pagos válidos del mismo ID y cuota con fecha igual o anterior al corte.</t>
      </text>
    </comment>
    <comment authorId="0" ref="O478">
      <text>
        <t xml:space="preserve">MIN(amortización pactada; MAX(0; pagado − cargos − interés)). No imputa excedentes a otras cuotas.</t>
      </text>
    </comment>
    <comment authorId="0" ref="P478">
      <text>
        <t xml:space="preserve">MAX(0; total pactado − pagado a esta cuota). Incluye capital, interés y cargos pendientes de ESA cuota.</t>
      </text>
    </comment>
    <comment authorId="0" ref="Q478">
      <text>
        <t xml:space="preserve">Días desde vencimiento hasta corte, solo si venció antes del corte y sigue con saldo.</t>
      </text>
    </comment>
    <comment authorId="0" ref="R478">
      <text>
        <t xml:space="preserve">MAX(0; pagado − cuota pactada). Exceso para revisar: no se traspasa a otra cuota.</t>
      </text>
    </comment>
    <comment authorId="0" ref="S478">
      <text>
        <t xml:space="preserve">Pagada, Vencida, Vence hoy, Por vencer o Exceso sin imputar según fecha y saldo al corte.</t>
      </text>
    </comment>
    <comment authorId="0" ref="T478">
      <text>
        <t xml:space="preserve">Auxiliar para encontrar la primera cuota pendiente. El 999999 indica que esta cuota no tiene saldo pendiente o está fuera del plazo, y no es una fecha real.</t>
      </text>
    </comment>
    <comment authorId="0" ref="C479">
      <text>
        <t xml:space="preserve">Crédito al que corresponde esta cuota.</t>
      </text>
    </comment>
    <comment authorId="0" ref="D479">
      <text>
        <t xml:space="preserve">Número de cuota dentro del crédito.</t>
      </text>
    </comment>
    <comment authorId="0" ref="E479">
      <text>
        <t xml:space="preserve">Fecha según EDATE a partir del primer vencimiento. No ajusta automáticamente feriados.</t>
      </text>
    </comment>
    <comment authorId="0" ref="F479">
      <text>
        <t xml:space="preserve">Capital al inicio del período en el calendario ORIGINAL, sin recalcular por pagos reales.</t>
      </text>
    </comment>
    <comment authorId="0" ref="G479">
      <text>
        <t xml:space="preserve">Tasa efectiva del mes según la base ingresada.</t>
      </text>
    </comment>
    <comment authorId="0" ref="H479">
      <text>
        <t xml:space="preserve">Interés del período = capital inicial × tasa mensual, redondeado a dos decimales.</t>
      </text>
    </comment>
    <comment authorId="0" ref="I479">
      <text>
        <t xml:space="preserve">Capital e interés pactados. La última cuota ajusta el saldo por redondeo.</t>
      </text>
    </comment>
    <comment authorId="0" ref="J479">
      <text>
        <t xml:space="preserve">Capital amortizado TEÓRICO = cuota base − interés, limitado al saldo.</t>
      </text>
    </comment>
    <comment authorId="0" ref="K479">
      <text>
        <t xml:space="preserve">Seguro y otros cargos fijos del mes.</t>
      </text>
    </comment>
    <comment authorId="0" ref="L479">
      <text>
        <t xml:space="preserve">Cuota base + cargos.</t>
      </text>
    </comment>
    <comment authorId="0" ref="M479">
      <text>
        <t xml:space="preserve">Capital final del calendario teórico. No equivale al saldo real si hay pagos parciales o atrasos.</t>
      </text>
    </comment>
    <comment authorId="0" ref="N479">
      <text>
        <t xml:space="preserve">Suma de pagos válidos del mismo ID y cuota con fecha igual o anterior al corte.</t>
      </text>
    </comment>
    <comment authorId="0" ref="O479">
      <text>
        <t xml:space="preserve">MIN(amortización pactada; MAX(0; pagado − cargos − interés)). No imputa excedentes a otras cuotas.</t>
      </text>
    </comment>
    <comment authorId="0" ref="P479">
      <text>
        <t xml:space="preserve">MAX(0; total pactado − pagado a esta cuota). Incluye capital, interés y cargos pendientes de ESA cuota.</t>
      </text>
    </comment>
    <comment authorId="0" ref="Q479">
      <text>
        <t xml:space="preserve">Días desde vencimiento hasta corte, solo si venció antes del corte y sigue con saldo.</t>
      </text>
    </comment>
    <comment authorId="0" ref="R479">
      <text>
        <t xml:space="preserve">MAX(0; pagado − cuota pactada). Exceso para revisar: no se traspasa a otra cuota.</t>
      </text>
    </comment>
    <comment authorId="0" ref="S479">
      <text>
        <t xml:space="preserve">Pagada, Vencida, Vence hoy, Por vencer o Exceso sin imputar según fecha y saldo al corte.</t>
      </text>
    </comment>
    <comment authorId="0" ref="T479">
      <text>
        <t xml:space="preserve">Auxiliar para encontrar la primera cuota pendiente. El 999999 indica que esta cuota no tiene saldo pendiente o está fuera del plazo, y no es una fecha real.</t>
      </text>
    </comment>
    <comment authorId="0" ref="C480">
      <text>
        <t xml:space="preserve">Crédito al que corresponde esta cuota.</t>
      </text>
    </comment>
    <comment authorId="0" ref="D480">
      <text>
        <t xml:space="preserve">Número de cuota dentro del crédito.</t>
      </text>
    </comment>
    <comment authorId="0" ref="E480">
      <text>
        <t xml:space="preserve">Fecha según EDATE a partir del primer vencimiento. No ajusta automáticamente feriados.</t>
      </text>
    </comment>
    <comment authorId="0" ref="F480">
      <text>
        <t xml:space="preserve">Capital al inicio del período en el calendario ORIGINAL, sin recalcular por pagos reales.</t>
      </text>
    </comment>
    <comment authorId="0" ref="G480">
      <text>
        <t xml:space="preserve">Tasa efectiva del mes según la base ingresada.</t>
      </text>
    </comment>
    <comment authorId="0" ref="H480">
      <text>
        <t xml:space="preserve">Interés del período = capital inicial × tasa mensual, redondeado a dos decimales.</t>
      </text>
    </comment>
    <comment authorId="0" ref="I480">
      <text>
        <t xml:space="preserve">Capital e interés pactados. La última cuota ajusta el saldo por redondeo.</t>
      </text>
    </comment>
    <comment authorId="0" ref="J480">
      <text>
        <t xml:space="preserve">Capital amortizado TEÓRICO = cuota base − interés, limitado al saldo.</t>
      </text>
    </comment>
    <comment authorId="0" ref="K480">
      <text>
        <t xml:space="preserve">Seguro y otros cargos fijos del mes.</t>
      </text>
    </comment>
    <comment authorId="0" ref="L480">
      <text>
        <t xml:space="preserve">Cuota base + cargos.</t>
      </text>
    </comment>
    <comment authorId="0" ref="M480">
      <text>
        <t xml:space="preserve">Capital final del calendario teórico. No equivale al saldo real si hay pagos parciales o atrasos.</t>
      </text>
    </comment>
    <comment authorId="0" ref="N480">
      <text>
        <t xml:space="preserve">Suma de pagos válidos del mismo ID y cuota con fecha igual o anterior al corte.</t>
      </text>
    </comment>
    <comment authorId="0" ref="O480">
      <text>
        <t xml:space="preserve">MIN(amortización pactada; MAX(0; pagado − cargos − interés)). No imputa excedentes a otras cuotas.</t>
      </text>
    </comment>
    <comment authorId="0" ref="P480">
      <text>
        <t xml:space="preserve">MAX(0; total pactado − pagado a esta cuota). Incluye capital, interés y cargos pendientes de ESA cuota.</t>
      </text>
    </comment>
    <comment authorId="0" ref="Q480">
      <text>
        <t xml:space="preserve">Días desde vencimiento hasta corte, solo si venció antes del corte y sigue con saldo.</t>
      </text>
    </comment>
    <comment authorId="0" ref="R480">
      <text>
        <t xml:space="preserve">MAX(0; pagado − cuota pactada). Exceso para revisar: no se traspasa a otra cuota.</t>
      </text>
    </comment>
    <comment authorId="0" ref="S480">
      <text>
        <t xml:space="preserve">Pagada, Vencida, Vence hoy, Por vencer o Exceso sin imputar según fecha y saldo al corte.</t>
      </text>
    </comment>
    <comment authorId="0" ref="T480">
      <text>
        <t xml:space="preserve">Auxiliar para encontrar la primera cuota pendiente. El 999999 indica que esta cuota no tiene saldo pendiente o está fuera del plazo, y no es una fecha real.</t>
      </text>
    </comment>
    <comment authorId="0" ref="C481">
      <text>
        <t xml:space="preserve">Crédito al que corresponde esta cuota.</t>
      </text>
    </comment>
    <comment authorId="0" ref="D481">
      <text>
        <t xml:space="preserve">Número de cuota dentro del crédito.</t>
      </text>
    </comment>
    <comment authorId="0" ref="E481">
      <text>
        <t xml:space="preserve">Fecha según EDATE a partir del primer vencimiento. No ajusta automáticamente feriados.</t>
      </text>
    </comment>
    <comment authorId="0" ref="F481">
      <text>
        <t xml:space="preserve">Capital al inicio del período en el calendario ORIGINAL, sin recalcular por pagos reales.</t>
      </text>
    </comment>
    <comment authorId="0" ref="G481">
      <text>
        <t xml:space="preserve">Tasa efectiva del mes según la base ingresada.</t>
      </text>
    </comment>
    <comment authorId="0" ref="H481">
      <text>
        <t xml:space="preserve">Interés del período = capital inicial × tasa mensual, redondeado a dos decimales.</t>
      </text>
    </comment>
    <comment authorId="0" ref="I481">
      <text>
        <t xml:space="preserve">Capital e interés pactados. La última cuota ajusta el saldo por redondeo.</t>
      </text>
    </comment>
    <comment authorId="0" ref="J481">
      <text>
        <t xml:space="preserve">Capital amortizado TEÓRICO = cuota base − interés, limitado al saldo.</t>
      </text>
    </comment>
    <comment authorId="0" ref="K481">
      <text>
        <t xml:space="preserve">Seguro y otros cargos fijos del mes.</t>
      </text>
    </comment>
    <comment authorId="0" ref="L481">
      <text>
        <t xml:space="preserve">Cuota base + cargos.</t>
      </text>
    </comment>
    <comment authorId="0" ref="M481">
      <text>
        <t xml:space="preserve">Capital final del calendario teórico. No equivale al saldo real si hay pagos parciales o atrasos.</t>
      </text>
    </comment>
    <comment authorId="0" ref="N481">
      <text>
        <t xml:space="preserve">Suma de pagos válidos del mismo ID y cuota con fecha igual o anterior al corte.</t>
      </text>
    </comment>
    <comment authorId="0" ref="O481">
      <text>
        <t xml:space="preserve">MIN(amortización pactada; MAX(0; pagado − cargos − interés)). No imputa excedentes a otras cuotas.</t>
      </text>
    </comment>
    <comment authorId="0" ref="P481">
      <text>
        <t xml:space="preserve">MAX(0; total pactado − pagado a esta cuota). Incluye capital, interés y cargos pendientes de ESA cuota.</t>
      </text>
    </comment>
    <comment authorId="0" ref="Q481">
      <text>
        <t xml:space="preserve">Días desde vencimiento hasta corte, solo si venció antes del corte y sigue con saldo.</t>
      </text>
    </comment>
    <comment authorId="0" ref="R481">
      <text>
        <t xml:space="preserve">MAX(0; pagado − cuota pactada). Exceso para revisar: no se traspasa a otra cuota.</t>
      </text>
    </comment>
    <comment authorId="0" ref="S481">
      <text>
        <t xml:space="preserve">Pagada, Vencida, Vence hoy, Por vencer o Exceso sin imputar según fecha y saldo al corte.</t>
      </text>
    </comment>
    <comment authorId="0" ref="T481">
      <text>
        <t xml:space="preserve">Auxiliar para encontrar la primera cuota pendiente. El 999999 indica que esta cuota no tiene saldo pendiente o está fuera del plazo, y no es una fecha real.</t>
      </text>
    </comment>
    <comment authorId="0" ref="C482">
      <text>
        <t xml:space="preserve">Crédito al que corresponde esta cuota.</t>
      </text>
    </comment>
    <comment authorId="0" ref="D482">
      <text>
        <t xml:space="preserve">Número de cuota dentro del crédito.</t>
      </text>
    </comment>
    <comment authorId="0" ref="E482">
      <text>
        <t xml:space="preserve">Fecha según EDATE a partir del primer vencimiento. No ajusta automáticamente feriados.</t>
      </text>
    </comment>
    <comment authorId="0" ref="F482">
      <text>
        <t xml:space="preserve">Capital al inicio del período en el calendario ORIGINAL, sin recalcular por pagos reales.</t>
      </text>
    </comment>
    <comment authorId="0" ref="G482">
      <text>
        <t xml:space="preserve">Tasa efectiva del mes según la base ingresada.</t>
      </text>
    </comment>
    <comment authorId="0" ref="H482">
      <text>
        <t xml:space="preserve">Interés del período = capital inicial × tasa mensual, redondeado a dos decimales.</t>
      </text>
    </comment>
    <comment authorId="0" ref="I482">
      <text>
        <t xml:space="preserve">Capital e interés pactados. La última cuota ajusta el saldo por redondeo.</t>
      </text>
    </comment>
    <comment authorId="0" ref="J482">
      <text>
        <t xml:space="preserve">Capital amortizado TEÓRICO = cuota base − interés, limitado al saldo.</t>
      </text>
    </comment>
    <comment authorId="0" ref="K482">
      <text>
        <t xml:space="preserve">Seguro y otros cargos fijos del mes.</t>
      </text>
    </comment>
    <comment authorId="0" ref="L482">
      <text>
        <t xml:space="preserve">Cuota base + cargos.</t>
      </text>
    </comment>
    <comment authorId="0" ref="M482">
      <text>
        <t xml:space="preserve">Capital final del calendario teórico. No equivale al saldo real si hay pagos parciales o atrasos.</t>
      </text>
    </comment>
    <comment authorId="0" ref="N482">
      <text>
        <t xml:space="preserve">Suma de pagos válidos del mismo ID y cuota con fecha igual o anterior al corte.</t>
      </text>
    </comment>
    <comment authorId="0" ref="O482">
      <text>
        <t xml:space="preserve">MIN(amortización pactada; MAX(0; pagado − cargos − interés)). No imputa excedentes a otras cuotas.</t>
      </text>
    </comment>
    <comment authorId="0" ref="P482">
      <text>
        <t xml:space="preserve">MAX(0; total pactado − pagado a esta cuota). Incluye capital, interés y cargos pendientes de ESA cuota.</t>
      </text>
    </comment>
    <comment authorId="0" ref="Q482">
      <text>
        <t xml:space="preserve">Días desde vencimiento hasta corte, solo si venció antes del corte y sigue con saldo.</t>
      </text>
    </comment>
    <comment authorId="0" ref="R482">
      <text>
        <t xml:space="preserve">MAX(0; pagado − cuota pactada). Exceso para revisar: no se traspasa a otra cuota.</t>
      </text>
    </comment>
    <comment authorId="0" ref="S482">
      <text>
        <t xml:space="preserve">Pagada, Vencida, Vence hoy, Por vencer o Exceso sin imputar según fecha y saldo al corte.</t>
      </text>
    </comment>
    <comment authorId="0" ref="T482">
      <text>
        <t xml:space="preserve">Auxiliar para encontrar la primera cuota pendiente. El 999999 indica que esta cuota no tiene saldo pendiente o está fuera del plazo, y no es una fecha real.</t>
      </text>
    </comment>
    <comment authorId="0" ref="C483">
      <text>
        <t xml:space="preserve">Crédito al que corresponde esta cuota.</t>
      </text>
    </comment>
    <comment authorId="0" ref="D483">
      <text>
        <t xml:space="preserve">Número de cuota dentro del crédito.</t>
      </text>
    </comment>
    <comment authorId="0" ref="E483">
      <text>
        <t xml:space="preserve">Fecha según EDATE a partir del primer vencimiento. No ajusta automáticamente feriados.</t>
      </text>
    </comment>
    <comment authorId="0" ref="F483">
      <text>
        <t xml:space="preserve">Capital al inicio del período en el calendario ORIGINAL, sin recalcular por pagos reales.</t>
      </text>
    </comment>
    <comment authorId="0" ref="G483">
      <text>
        <t xml:space="preserve">Tasa efectiva del mes según la base ingresada.</t>
      </text>
    </comment>
    <comment authorId="0" ref="H483">
      <text>
        <t xml:space="preserve">Interés del período = capital inicial × tasa mensual, redondeado a dos decimales.</t>
      </text>
    </comment>
    <comment authorId="0" ref="I483">
      <text>
        <t xml:space="preserve">Capital e interés pactados. La última cuota ajusta el saldo por redondeo.</t>
      </text>
    </comment>
    <comment authorId="0" ref="J483">
      <text>
        <t xml:space="preserve">Capital amortizado TEÓRICO = cuota base − interés, limitado al saldo.</t>
      </text>
    </comment>
    <comment authorId="0" ref="K483">
      <text>
        <t xml:space="preserve">Seguro y otros cargos fijos del mes.</t>
      </text>
    </comment>
    <comment authorId="0" ref="L483">
      <text>
        <t xml:space="preserve">Cuota base + cargos.</t>
      </text>
    </comment>
    <comment authorId="0" ref="M483">
      <text>
        <t xml:space="preserve">Capital final del calendario teórico. No equivale al saldo real si hay pagos parciales o atrasos.</t>
      </text>
    </comment>
    <comment authorId="0" ref="N483">
      <text>
        <t xml:space="preserve">Suma de pagos válidos del mismo ID y cuota con fecha igual o anterior al corte.</t>
      </text>
    </comment>
    <comment authorId="0" ref="O483">
      <text>
        <t xml:space="preserve">MIN(amortización pactada; MAX(0; pagado − cargos − interés)). No imputa excedentes a otras cuotas.</t>
      </text>
    </comment>
    <comment authorId="0" ref="P483">
      <text>
        <t xml:space="preserve">MAX(0; total pactado − pagado a esta cuota). Incluye capital, interés y cargos pendientes de ESA cuota.</t>
      </text>
    </comment>
    <comment authorId="0" ref="Q483">
      <text>
        <t xml:space="preserve">Días desde vencimiento hasta corte, solo si venció antes del corte y sigue con saldo.</t>
      </text>
    </comment>
    <comment authorId="0" ref="R483">
      <text>
        <t xml:space="preserve">MAX(0; pagado − cuota pactada). Exceso para revisar: no se traspasa a otra cuota.</t>
      </text>
    </comment>
    <comment authorId="0" ref="S483">
      <text>
        <t xml:space="preserve">Pagada, Vencida, Vence hoy, Por vencer o Exceso sin imputar según fecha y saldo al corte.</t>
      </text>
    </comment>
    <comment authorId="0" ref="T483">
      <text>
        <t xml:space="preserve">Auxiliar para encontrar la primera cuota pendiente. El 999999 indica que esta cuota no tiene saldo pendiente o está fuera del plazo, y no es una fecha real.</t>
      </text>
    </comment>
    <comment authorId="0" ref="C484">
      <text>
        <t xml:space="preserve">Crédito al que corresponde esta cuota.</t>
      </text>
    </comment>
    <comment authorId="0" ref="D484">
      <text>
        <t xml:space="preserve">Número de cuota dentro del crédito.</t>
      </text>
    </comment>
    <comment authorId="0" ref="E484">
      <text>
        <t xml:space="preserve">Fecha según EDATE a partir del primer vencimiento. No ajusta automáticamente feriados.</t>
      </text>
    </comment>
    <comment authorId="0" ref="F484">
      <text>
        <t xml:space="preserve">Capital al inicio del período en el calendario ORIGINAL, sin recalcular por pagos reales.</t>
      </text>
    </comment>
    <comment authorId="0" ref="G484">
      <text>
        <t xml:space="preserve">Tasa efectiva del mes según la base ingresada.</t>
      </text>
    </comment>
    <comment authorId="0" ref="H484">
      <text>
        <t xml:space="preserve">Interés del período = capital inicial × tasa mensual, redondeado a dos decimales.</t>
      </text>
    </comment>
    <comment authorId="0" ref="I484">
      <text>
        <t xml:space="preserve">Capital e interés pactados. La última cuota ajusta el saldo por redondeo.</t>
      </text>
    </comment>
    <comment authorId="0" ref="J484">
      <text>
        <t xml:space="preserve">Capital amortizado TEÓRICO = cuota base − interés, limitado al saldo.</t>
      </text>
    </comment>
    <comment authorId="0" ref="K484">
      <text>
        <t xml:space="preserve">Seguro y otros cargos fijos del mes.</t>
      </text>
    </comment>
    <comment authorId="0" ref="L484">
      <text>
        <t xml:space="preserve">Cuota base + cargos.</t>
      </text>
    </comment>
    <comment authorId="0" ref="M484">
      <text>
        <t xml:space="preserve">Capital final del calendario teórico. No equivale al saldo real si hay pagos parciales o atrasos.</t>
      </text>
    </comment>
    <comment authorId="0" ref="N484">
      <text>
        <t xml:space="preserve">Suma de pagos válidos del mismo ID y cuota con fecha igual o anterior al corte.</t>
      </text>
    </comment>
    <comment authorId="0" ref="O484">
      <text>
        <t xml:space="preserve">MIN(amortización pactada; MAX(0; pagado − cargos − interés)). No imputa excedentes a otras cuotas.</t>
      </text>
    </comment>
    <comment authorId="0" ref="P484">
      <text>
        <t xml:space="preserve">MAX(0; total pactado − pagado a esta cuota). Incluye capital, interés y cargos pendientes de ESA cuota.</t>
      </text>
    </comment>
    <comment authorId="0" ref="Q484">
      <text>
        <t xml:space="preserve">Días desde vencimiento hasta corte, solo si venció antes del corte y sigue con saldo.</t>
      </text>
    </comment>
    <comment authorId="0" ref="R484">
      <text>
        <t xml:space="preserve">MAX(0; pagado − cuota pactada). Exceso para revisar: no se traspasa a otra cuota.</t>
      </text>
    </comment>
    <comment authorId="0" ref="S484">
      <text>
        <t xml:space="preserve">Pagada, Vencida, Vence hoy, Por vencer o Exceso sin imputar según fecha y saldo al corte.</t>
      </text>
    </comment>
    <comment authorId="0" ref="T484">
      <text>
        <t xml:space="preserve">Auxiliar para encontrar la primera cuota pendiente. El 999999 indica que esta cuota no tiene saldo pendiente o está fuera del plazo, y no es una fecha real.</t>
      </text>
    </comment>
    <comment authorId="0" ref="C485">
      <text>
        <t xml:space="preserve">Crédito al que corresponde esta cuota.</t>
      </text>
    </comment>
    <comment authorId="0" ref="D485">
      <text>
        <t xml:space="preserve">Número de cuota dentro del crédito.</t>
      </text>
    </comment>
    <comment authorId="0" ref="E485">
      <text>
        <t xml:space="preserve">Fecha según EDATE a partir del primer vencimiento. No ajusta automáticamente feriados.</t>
      </text>
    </comment>
    <comment authorId="0" ref="F485">
      <text>
        <t xml:space="preserve">Capital al inicio del período en el calendario ORIGINAL, sin recalcular por pagos reales.</t>
      </text>
    </comment>
    <comment authorId="0" ref="G485">
      <text>
        <t xml:space="preserve">Tasa efectiva del mes según la base ingresada.</t>
      </text>
    </comment>
    <comment authorId="0" ref="H485">
      <text>
        <t xml:space="preserve">Interés del período = capital inicial × tasa mensual, redondeado a dos decimales.</t>
      </text>
    </comment>
    <comment authorId="0" ref="I485">
      <text>
        <t xml:space="preserve">Capital e interés pactados. La última cuota ajusta el saldo por redondeo.</t>
      </text>
    </comment>
    <comment authorId="0" ref="J485">
      <text>
        <t xml:space="preserve">Capital amortizado TEÓRICO = cuota base − interés, limitado al saldo.</t>
      </text>
    </comment>
    <comment authorId="0" ref="K485">
      <text>
        <t xml:space="preserve">Seguro y otros cargos fijos del mes.</t>
      </text>
    </comment>
    <comment authorId="0" ref="L485">
      <text>
        <t xml:space="preserve">Cuota base + cargos.</t>
      </text>
    </comment>
    <comment authorId="0" ref="M485">
      <text>
        <t xml:space="preserve">Capital final del calendario teórico. No equivale al saldo real si hay pagos parciales o atrasos.</t>
      </text>
    </comment>
    <comment authorId="0" ref="N485">
      <text>
        <t xml:space="preserve">Suma de pagos válidos del mismo ID y cuota con fecha igual o anterior al corte.</t>
      </text>
    </comment>
    <comment authorId="0" ref="O485">
      <text>
        <t xml:space="preserve">MIN(amortización pactada; MAX(0; pagado − cargos − interés)). No imputa excedentes a otras cuotas.</t>
      </text>
    </comment>
    <comment authorId="0" ref="P485">
      <text>
        <t xml:space="preserve">MAX(0; total pactado − pagado a esta cuota). Incluye capital, interés y cargos pendientes de ESA cuota.</t>
      </text>
    </comment>
    <comment authorId="0" ref="Q485">
      <text>
        <t xml:space="preserve">Días desde vencimiento hasta corte, solo si venció antes del corte y sigue con saldo.</t>
      </text>
    </comment>
    <comment authorId="0" ref="R485">
      <text>
        <t xml:space="preserve">MAX(0; pagado − cuota pactada). Exceso para revisar: no se traspasa a otra cuota.</t>
      </text>
    </comment>
    <comment authorId="0" ref="S485">
      <text>
        <t xml:space="preserve">Pagada, Vencida, Vence hoy, Por vencer o Exceso sin imputar según fecha y saldo al corte.</t>
      </text>
    </comment>
    <comment authorId="0" ref="T485">
      <text>
        <t xml:space="preserve">Auxiliar para encontrar la primera cuota pendiente. El 999999 indica que esta cuota no tiene saldo pendiente o está fuera del plazo, y no es una fecha real.</t>
      </text>
    </comment>
    <comment authorId="0" ref="C486">
      <text>
        <t xml:space="preserve">Crédito al que corresponde esta cuota.</t>
      </text>
    </comment>
    <comment authorId="0" ref="D486">
      <text>
        <t xml:space="preserve">Número de cuota dentro del crédito.</t>
      </text>
    </comment>
    <comment authorId="0" ref="E486">
      <text>
        <t xml:space="preserve">Fecha según EDATE a partir del primer vencimiento. No ajusta automáticamente feriados.</t>
      </text>
    </comment>
    <comment authorId="0" ref="F486">
      <text>
        <t xml:space="preserve">Capital al inicio del período en el calendario ORIGINAL, sin recalcular por pagos reales.</t>
      </text>
    </comment>
    <comment authorId="0" ref="G486">
      <text>
        <t xml:space="preserve">Tasa efectiva del mes según la base ingresada.</t>
      </text>
    </comment>
    <comment authorId="0" ref="H486">
      <text>
        <t xml:space="preserve">Interés del período = capital inicial × tasa mensual, redondeado a dos decimales.</t>
      </text>
    </comment>
    <comment authorId="0" ref="I486">
      <text>
        <t xml:space="preserve">Capital e interés pactados. La última cuota ajusta el saldo por redondeo.</t>
      </text>
    </comment>
    <comment authorId="0" ref="J486">
      <text>
        <t xml:space="preserve">Capital amortizado TEÓRICO = cuota base − interés, limitado al saldo.</t>
      </text>
    </comment>
    <comment authorId="0" ref="K486">
      <text>
        <t xml:space="preserve">Seguro y otros cargos fijos del mes.</t>
      </text>
    </comment>
    <comment authorId="0" ref="L486">
      <text>
        <t xml:space="preserve">Cuota base + cargos.</t>
      </text>
    </comment>
    <comment authorId="0" ref="M486">
      <text>
        <t xml:space="preserve">Capital final del calendario teórico. No equivale al saldo real si hay pagos parciales o atrasos.</t>
      </text>
    </comment>
    <comment authorId="0" ref="N486">
      <text>
        <t xml:space="preserve">Suma de pagos válidos del mismo ID y cuota con fecha igual o anterior al corte.</t>
      </text>
    </comment>
    <comment authorId="0" ref="O486">
      <text>
        <t xml:space="preserve">MIN(amortización pactada; MAX(0; pagado − cargos − interés)). No imputa excedentes a otras cuotas.</t>
      </text>
    </comment>
    <comment authorId="0" ref="P486">
      <text>
        <t xml:space="preserve">MAX(0; total pactado − pagado a esta cuota). Incluye capital, interés y cargos pendientes de ESA cuota.</t>
      </text>
    </comment>
    <comment authorId="0" ref="Q486">
      <text>
        <t xml:space="preserve">Días desde vencimiento hasta corte, solo si venció antes del corte y sigue con saldo.</t>
      </text>
    </comment>
    <comment authorId="0" ref="R486">
      <text>
        <t xml:space="preserve">MAX(0; pagado − cuota pactada). Exceso para revisar: no se traspasa a otra cuota.</t>
      </text>
    </comment>
    <comment authorId="0" ref="S486">
      <text>
        <t xml:space="preserve">Pagada, Vencida, Vence hoy, Por vencer o Exceso sin imputar según fecha y saldo al corte.</t>
      </text>
    </comment>
    <comment authorId="0" ref="T486">
      <text>
        <t xml:space="preserve">Auxiliar para encontrar la primera cuota pendiente. El 999999 indica que esta cuota no tiene saldo pendiente o está fuera del plazo, y no es una fecha real.</t>
      </text>
    </comment>
    <comment authorId="0" ref="C487">
      <text>
        <t xml:space="preserve">Crédito al que corresponde esta cuota.</t>
      </text>
    </comment>
    <comment authorId="0" ref="D487">
      <text>
        <t xml:space="preserve">Número de cuota dentro del crédito.</t>
      </text>
    </comment>
    <comment authorId="0" ref="E487">
      <text>
        <t xml:space="preserve">Fecha según EDATE a partir del primer vencimiento. No ajusta automáticamente feriados.</t>
      </text>
    </comment>
    <comment authorId="0" ref="F487">
      <text>
        <t xml:space="preserve">Capital al inicio del período en el calendario ORIGINAL, sin recalcular por pagos reales.</t>
      </text>
    </comment>
    <comment authorId="0" ref="G487">
      <text>
        <t xml:space="preserve">Tasa efectiva del mes según la base ingresada.</t>
      </text>
    </comment>
    <comment authorId="0" ref="H487">
      <text>
        <t xml:space="preserve">Interés del período = capital inicial × tasa mensual, redondeado a dos decimales.</t>
      </text>
    </comment>
    <comment authorId="0" ref="I487">
      <text>
        <t xml:space="preserve">Capital e interés pactados. La última cuota ajusta el saldo por redondeo.</t>
      </text>
    </comment>
    <comment authorId="0" ref="J487">
      <text>
        <t xml:space="preserve">Capital amortizado TEÓRICO = cuota base − interés, limitado al saldo.</t>
      </text>
    </comment>
    <comment authorId="0" ref="K487">
      <text>
        <t xml:space="preserve">Seguro y otros cargos fijos del mes.</t>
      </text>
    </comment>
    <comment authorId="0" ref="L487">
      <text>
        <t xml:space="preserve">Cuota base + cargos.</t>
      </text>
    </comment>
    <comment authorId="0" ref="M487">
      <text>
        <t xml:space="preserve">Capital final del calendario teórico. No equivale al saldo real si hay pagos parciales o atrasos.</t>
      </text>
    </comment>
    <comment authorId="0" ref="N487">
      <text>
        <t xml:space="preserve">Suma de pagos válidos del mismo ID y cuota con fecha igual o anterior al corte.</t>
      </text>
    </comment>
    <comment authorId="0" ref="O487">
      <text>
        <t xml:space="preserve">MIN(amortización pactada; MAX(0; pagado − cargos − interés)). No imputa excedentes a otras cuotas.</t>
      </text>
    </comment>
    <comment authorId="0" ref="P487">
      <text>
        <t xml:space="preserve">MAX(0; total pactado − pagado a esta cuota). Incluye capital, interés y cargos pendientes de ESA cuota.</t>
      </text>
    </comment>
    <comment authorId="0" ref="Q487">
      <text>
        <t xml:space="preserve">Días desde vencimiento hasta corte, solo si venció antes del corte y sigue con saldo.</t>
      </text>
    </comment>
    <comment authorId="0" ref="R487">
      <text>
        <t xml:space="preserve">MAX(0; pagado − cuota pactada). Exceso para revisar: no se traspasa a otra cuota.</t>
      </text>
    </comment>
    <comment authorId="0" ref="S487">
      <text>
        <t xml:space="preserve">Pagada, Vencida, Vence hoy, Por vencer o Exceso sin imputar según fecha y saldo al corte.</t>
      </text>
    </comment>
    <comment authorId="0" ref="T487">
      <text>
        <t xml:space="preserve">Auxiliar para encontrar la primera cuota pendiente. El 999999 indica que esta cuota no tiene saldo pendiente o está fuera del plazo, y no es una fecha real.</t>
      </text>
    </comment>
    <comment authorId="0" ref="C488">
      <text>
        <t xml:space="preserve">Crédito al que corresponde esta cuota.</t>
      </text>
    </comment>
    <comment authorId="0" ref="D488">
      <text>
        <t xml:space="preserve">Número de cuota dentro del crédito.</t>
      </text>
    </comment>
    <comment authorId="0" ref="E488">
      <text>
        <t xml:space="preserve">Fecha según EDATE a partir del primer vencimiento. No ajusta automáticamente feriados.</t>
      </text>
    </comment>
    <comment authorId="0" ref="F488">
      <text>
        <t xml:space="preserve">Capital al inicio del período en el calendario ORIGINAL, sin recalcular por pagos reales.</t>
      </text>
    </comment>
    <comment authorId="0" ref="G488">
      <text>
        <t xml:space="preserve">Tasa efectiva del mes según la base ingresada.</t>
      </text>
    </comment>
    <comment authorId="0" ref="H488">
      <text>
        <t xml:space="preserve">Interés del período = capital inicial × tasa mensual, redondeado a dos decimales.</t>
      </text>
    </comment>
    <comment authorId="0" ref="I488">
      <text>
        <t xml:space="preserve">Capital e interés pactados. La última cuota ajusta el saldo por redondeo.</t>
      </text>
    </comment>
    <comment authorId="0" ref="J488">
      <text>
        <t xml:space="preserve">Capital amortizado TEÓRICO = cuota base − interés, limitado al saldo.</t>
      </text>
    </comment>
    <comment authorId="0" ref="K488">
      <text>
        <t xml:space="preserve">Seguro y otros cargos fijos del mes.</t>
      </text>
    </comment>
    <comment authorId="0" ref="L488">
      <text>
        <t xml:space="preserve">Cuota base + cargos.</t>
      </text>
    </comment>
    <comment authorId="0" ref="M488">
      <text>
        <t xml:space="preserve">Capital final del calendario teórico. No equivale al saldo real si hay pagos parciales o atrasos.</t>
      </text>
    </comment>
    <comment authorId="0" ref="N488">
      <text>
        <t xml:space="preserve">Suma de pagos válidos del mismo ID y cuota con fecha igual o anterior al corte.</t>
      </text>
    </comment>
    <comment authorId="0" ref="O488">
      <text>
        <t xml:space="preserve">MIN(amortización pactada; MAX(0; pagado − cargos − interés)). No imputa excedentes a otras cuotas.</t>
      </text>
    </comment>
    <comment authorId="0" ref="P488">
      <text>
        <t xml:space="preserve">MAX(0; total pactado − pagado a esta cuota). Incluye capital, interés y cargos pendientes de ESA cuota.</t>
      </text>
    </comment>
    <comment authorId="0" ref="Q488">
      <text>
        <t xml:space="preserve">Días desde vencimiento hasta corte, solo si venció antes del corte y sigue con saldo.</t>
      </text>
    </comment>
    <comment authorId="0" ref="R488">
      <text>
        <t xml:space="preserve">MAX(0; pagado − cuota pactada). Exceso para revisar: no se traspasa a otra cuota.</t>
      </text>
    </comment>
    <comment authorId="0" ref="S488">
      <text>
        <t xml:space="preserve">Pagada, Vencida, Vence hoy, Por vencer o Exceso sin imputar según fecha y saldo al corte.</t>
      </text>
    </comment>
    <comment authorId="0" ref="T488">
      <text>
        <t xml:space="preserve">Auxiliar para encontrar la primera cuota pendiente. El 999999 indica que esta cuota no tiene saldo pendiente o está fuera del plazo, y no es una fecha real.</t>
      </text>
    </comment>
    <comment authorId="0" ref="C489">
      <text>
        <t xml:space="preserve">Crédito al que corresponde esta cuota.</t>
      </text>
    </comment>
    <comment authorId="0" ref="D489">
      <text>
        <t xml:space="preserve">Número de cuota dentro del crédito.</t>
      </text>
    </comment>
    <comment authorId="0" ref="E489">
      <text>
        <t xml:space="preserve">Fecha según EDATE a partir del primer vencimiento. No ajusta automáticamente feriados.</t>
      </text>
    </comment>
    <comment authorId="0" ref="F489">
      <text>
        <t xml:space="preserve">Capital al inicio del período en el calendario ORIGINAL, sin recalcular por pagos reales.</t>
      </text>
    </comment>
    <comment authorId="0" ref="G489">
      <text>
        <t xml:space="preserve">Tasa efectiva del mes según la base ingresada.</t>
      </text>
    </comment>
    <comment authorId="0" ref="H489">
      <text>
        <t xml:space="preserve">Interés del período = capital inicial × tasa mensual, redondeado a dos decimales.</t>
      </text>
    </comment>
    <comment authorId="0" ref="I489">
      <text>
        <t xml:space="preserve">Capital e interés pactados. La última cuota ajusta el saldo por redondeo.</t>
      </text>
    </comment>
    <comment authorId="0" ref="J489">
      <text>
        <t xml:space="preserve">Capital amortizado TEÓRICO = cuota base − interés, limitado al saldo.</t>
      </text>
    </comment>
    <comment authorId="0" ref="K489">
      <text>
        <t xml:space="preserve">Seguro y otros cargos fijos del mes.</t>
      </text>
    </comment>
    <comment authorId="0" ref="L489">
      <text>
        <t xml:space="preserve">Cuota base + cargos.</t>
      </text>
    </comment>
    <comment authorId="0" ref="M489">
      <text>
        <t xml:space="preserve">Capital final del calendario teórico. No equivale al saldo real si hay pagos parciales o atrasos.</t>
      </text>
    </comment>
    <comment authorId="0" ref="N489">
      <text>
        <t xml:space="preserve">Suma de pagos válidos del mismo ID y cuota con fecha igual o anterior al corte.</t>
      </text>
    </comment>
    <comment authorId="0" ref="O489">
      <text>
        <t xml:space="preserve">MIN(amortización pactada; MAX(0; pagado − cargos − interés)). No imputa excedentes a otras cuotas.</t>
      </text>
    </comment>
    <comment authorId="0" ref="P489">
      <text>
        <t xml:space="preserve">MAX(0; total pactado − pagado a esta cuota). Incluye capital, interés y cargos pendientes de ESA cuota.</t>
      </text>
    </comment>
    <comment authorId="0" ref="Q489">
      <text>
        <t xml:space="preserve">Días desde vencimiento hasta corte, solo si venció antes del corte y sigue con saldo.</t>
      </text>
    </comment>
    <comment authorId="0" ref="R489">
      <text>
        <t xml:space="preserve">MAX(0; pagado − cuota pactada). Exceso para revisar: no se traspasa a otra cuota.</t>
      </text>
    </comment>
    <comment authorId="0" ref="S489">
      <text>
        <t xml:space="preserve">Pagada, Vencida, Vence hoy, Por vencer o Exceso sin imputar según fecha y saldo al corte.</t>
      </text>
    </comment>
    <comment authorId="0" ref="T489">
      <text>
        <t xml:space="preserve">Auxiliar para encontrar la primera cuota pendiente. El 999999 indica que esta cuota no tiene saldo pendiente o está fuera del plazo, y no es una fecha real.</t>
      </text>
    </comment>
    <comment authorId="0" ref="C490">
      <text>
        <t xml:space="preserve">Crédito al que corresponde esta cuota.</t>
      </text>
    </comment>
    <comment authorId="0" ref="D490">
      <text>
        <t xml:space="preserve">Número de cuota dentro del crédito.</t>
      </text>
    </comment>
    <comment authorId="0" ref="E490">
      <text>
        <t xml:space="preserve">Fecha según EDATE a partir del primer vencimiento. No ajusta automáticamente feriados.</t>
      </text>
    </comment>
    <comment authorId="0" ref="F490">
      <text>
        <t xml:space="preserve">Capital al inicio del período en el calendario ORIGINAL, sin recalcular por pagos reales.</t>
      </text>
    </comment>
    <comment authorId="0" ref="G490">
      <text>
        <t xml:space="preserve">Tasa efectiva del mes según la base ingresada.</t>
      </text>
    </comment>
    <comment authorId="0" ref="H490">
      <text>
        <t xml:space="preserve">Interés del período = capital inicial × tasa mensual, redondeado a dos decimales.</t>
      </text>
    </comment>
    <comment authorId="0" ref="I490">
      <text>
        <t xml:space="preserve">Capital e interés pactados. La última cuota ajusta el saldo por redondeo.</t>
      </text>
    </comment>
    <comment authorId="0" ref="J490">
      <text>
        <t xml:space="preserve">Capital amortizado TEÓRICO = cuota base − interés, limitado al saldo.</t>
      </text>
    </comment>
    <comment authorId="0" ref="K490">
      <text>
        <t xml:space="preserve">Seguro y otros cargos fijos del mes.</t>
      </text>
    </comment>
    <comment authorId="0" ref="L490">
      <text>
        <t xml:space="preserve">Cuota base + cargos.</t>
      </text>
    </comment>
    <comment authorId="0" ref="M490">
      <text>
        <t xml:space="preserve">Capital final del calendario teórico. No equivale al saldo real si hay pagos parciales o atrasos.</t>
      </text>
    </comment>
    <comment authorId="0" ref="N490">
      <text>
        <t xml:space="preserve">Suma de pagos válidos del mismo ID y cuota con fecha igual o anterior al corte.</t>
      </text>
    </comment>
    <comment authorId="0" ref="O490">
      <text>
        <t xml:space="preserve">MIN(amortización pactada; MAX(0; pagado − cargos − interés)). No imputa excedentes a otras cuotas.</t>
      </text>
    </comment>
    <comment authorId="0" ref="P490">
      <text>
        <t xml:space="preserve">MAX(0; total pactado − pagado a esta cuota). Incluye capital, interés y cargos pendientes de ESA cuota.</t>
      </text>
    </comment>
    <comment authorId="0" ref="Q490">
      <text>
        <t xml:space="preserve">Días desde vencimiento hasta corte, solo si venció antes del corte y sigue con saldo.</t>
      </text>
    </comment>
    <comment authorId="0" ref="R490">
      <text>
        <t xml:space="preserve">MAX(0; pagado − cuota pactada). Exceso para revisar: no se traspasa a otra cuota.</t>
      </text>
    </comment>
    <comment authorId="0" ref="S490">
      <text>
        <t xml:space="preserve">Pagada, Vencida, Vence hoy, Por vencer o Exceso sin imputar según fecha y saldo al corte.</t>
      </text>
    </comment>
    <comment authorId="0" ref="T490">
      <text>
        <t xml:space="preserve">Auxiliar para encontrar la primera cuota pendiente. El 999999 indica que esta cuota no tiene saldo pendiente o está fuera del plazo, y no es una fecha real.</t>
      </text>
    </comment>
    <comment authorId="0" ref="C491">
      <text>
        <t xml:space="preserve">Crédito al que corresponde esta cuota.</t>
      </text>
    </comment>
    <comment authorId="0" ref="D491">
      <text>
        <t xml:space="preserve">Número de cuota dentro del crédito.</t>
      </text>
    </comment>
    <comment authorId="0" ref="E491">
      <text>
        <t xml:space="preserve">Fecha según EDATE a partir del primer vencimiento. No ajusta automáticamente feriados.</t>
      </text>
    </comment>
    <comment authorId="0" ref="F491">
      <text>
        <t xml:space="preserve">Capital al inicio del período en el calendario ORIGINAL, sin recalcular por pagos reales.</t>
      </text>
    </comment>
    <comment authorId="0" ref="G491">
      <text>
        <t xml:space="preserve">Tasa efectiva del mes según la base ingresada.</t>
      </text>
    </comment>
    <comment authorId="0" ref="H491">
      <text>
        <t xml:space="preserve">Interés del período = capital inicial × tasa mensual, redondeado a dos decimales.</t>
      </text>
    </comment>
    <comment authorId="0" ref="I491">
      <text>
        <t xml:space="preserve">Capital e interés pactados. La última cuota ajusta el saldo por redondeo.</t>
      </text>
    </comment>
    <comment authorId="0" ref="J491">
      <text>
        <t xml:space="preserve">Capital amortizado TEÓRICO = cuota base − interés, limitado al saldo.</t>
      </text>
    </comment>
    <comment authorId="0" ref="K491">
      <text>
        <t xml:space="preserve">Seguro y otros cargos fijos del mes.</t>
      </text>
    </comment>
    <comment authorId="0" ref="L491">
      <text>
        <t xml:space="preserve">Cuota base + cargos.</t>
      </text>
    </comment>
    <comment authorId="0" ref="M491">
      <text>
        <t xml:space="preserve">Capital final del calendario teórico. No equivale al saldo real si hay pagos parciales o atrasos.</t>
      </text>
    </comment>
    <comment authorId="0" ref="N491">
      <text>
        <t xml:space="preserve">Suma de pagos válidos del mismo ID y cuota con fecha igual o anterior al corte.</t>
      </text>
    </comment>
    <comment authorId="0" ref="O491">
      <text>
        <t xml:space="preserve">MIN(amortización pactada; MAX(0; pagado − cargos − interés)). No imputa excedentes a otras cuotas.</t>
      </text>
    </comment>
    <comment authorId="0" ref="P491">
      <text>
        <t xml:space="preserve">MAX(0; total pactado − pagado a esta cuota). Incluye capital, interés y cargos pendientes de ESA cuota.</t>
      </text>
    </comment>
    <comment authorId="0" ref="Q491">
      <text>
        <t xml:space="preserve">Días desde vencimiento hasta corte, solo si venció antes del corte y sigue con saldo.</t>
      </text>
    </comment>
    <comment authorId="0" ref="R491">
      <text>
        <t xml:space="preserve">MAX(0; pagado − cuota pactada). Exceso para revisar: no se traspasa a otra cuota.</t>
      </text>
    </comment>
    <comment authorId="0" ref="S491">
      <text>
        <t xml:space="preserve">Pagada, Vencida, Vence hoy, Por vencer o Exceso sin imputar según fecha y saldo al corte.</t>
      </text>
    </comment>
    <comment authorId="0" ref="T491">
      <text>
        <t xml:space="preserve">Auxiliar para encontrar la primera cuota pendiente. El 999999 indica que esta cuota no tiene saldo pendiente o está fuera del plazo, y no es una fecha real.</t>
      </text>
    </comment>
    <comment authorId="0" ref="C492">
      <text>
        <t xml:space="preserve">Crédito al que corresponde esta cuota.</t>
      </text>
    </comment>
    <comment authorId="0" ref="D492">
      <text>
        <t xml:space="preserve">Número de cuota dentro del crédito.</t>
      </text>
    </comment>
    <comment authorId="0" ref="E492">
      <text>
        <t xml:space="preserve">Fecha según EDATE a partir del primer vencimiento. No ajusta automáticamente feriados.</t>
      </text>
    </comment>
    <comment authorId="0" ref="F492">
      <text>
        <t xml:space="preserve">Capital al inicio del período en el calendario ORIGINAL, sin recalcular por pagos reales.</t>
      </text>
    </comment>
    <comment authorId="0" ref="G492">
      <text>
        <t xml:space="preserve">Tasa efectiva del mes según la base ingresada.</t>
      </text>
    </comment>
    <comment authorId="0" ref="H492">
      <text>
        <t xml:space="preserve">Interés del período = capital inicial × tasa mensual, redondeado a dos decimales.</t>
      </text>
    </comment>
    <comment authorId="0" ref="I492">
      <text>
        <t xml:space="preserve">Capital e interés pactados. La última cuota ajusta el saldo por redondeo.</t>
      </text>
    </comment>
    <comment authorId="0" ref="J492">
      <text>
        <t xml:space="preserve">Capital amortizado TEÓRICO = cuota base − interés, limitado al saldo.</t>
      </text>
    </comment>
    <comment authorId="0" ref="K492">
      <text>
        <t xml:space="preserve">Seguro y otros cargos fijos del mes.</t>
      </text>
    </comment>
    <comment authorId="0" ref="L492">
      <text>
        <t xml:space="preserve">Cuota base + cargos.</t>
      </text>
    </comment>
    <comment authorId="0" ref="M492">
      <text>
        <t xml:space="preserve">Capital final del calendario teórico. No equivale al saldo real si hay pagos parciales o atrasos.</t>
      </text>
    </comment>
    <comment authorId="0" ref="N492">
      <text>
        <t xml:space="preserve">Suma de pagos válidos del mismo ID y cuota con fecha igual o anterior al corte.</t>
      </text>
    </comment>
    <comment authorId="0" ref="O492">
      <text>
        <t xml:space="preserve">MIN(amortización pactada; MAX(0; pagado − cargos − interés)). No imputa excedentes a otras cuotas.</t>
      </text>
    </comment>
    <comment authorId="0" ref="P492">
      <text>
        <t xml:space="preserve">MAX(0; total pactado − pagado a esta cuota). Incluye capital, interés y cargos pendientes de ESA cuota.</t>
      </text>
    </comment>
    <comment authorId="0" ref="Q492">
      <text>
        <t xml:space="preserve">Días desde vencimiento hasta corte, solo si venció antes del corte y sigue con saldo.</t>
      </text>
    </comment>
    <comment authorId="0" ref="R492">
      <text>
        <t xml:space="preserve">MAX(0; pagado − cuota pactada). Exceso para revisar: no se traspasa a otra cuota.</t>
      </text>
    </comment>
    <comment authorId="0" ref="S492">
      <text>
        <t xml:space="preserve">Pagada, Vencida, Vence hoy, Por vencer o Exceso sin imputar según fecha y saldo al corte.</t>
      </text>
    </comment>
    <comment authorId="0" ref="T492">
      <text>
        <t xml:space="preserve">Auxiliar para encontrar la primera cuota pendiente. El 999999 indica que esta cuota no tiene saldo pendiente o está fuera del plazo, y no es una fecha real.</t>
      </text>
    </comment>
    <comment authorId="0" ref="C493">
      <text>
        <t xml:space="preserve">Crédito al que corresponde esta cuota.</t>
      </text>
    </comment>
    <comment authorId="0" ref="D493">
      <text>
        <t xml:space="preserve">Número de cuota dentro del crédito.</t>
      </text>
    </comment>
    <comment authorId="0" ref="E493">
      <text>
        <t xml:space="preserve">Fecha según EDATE a partir del primer vencimiento. No ajusta automáticamente feriados.</t>
      </text>
    </comment>
    <comment authorId="0" ref="F493">
      <text>
        <t xml:space="preserve">Capital al inicio del período en el calendario ORIGINAL, sin recalcular por pagos reales.</t>
      </text>
    </comment>
    <comment authorId="0" ref="G493">
      <text>
        <t xml:space="preserve">Tasa efectiva del mes según la base ingresada.</t>
      </text>
    </comment>
    <comment authorId="0" ref="H493">
      <text>
        <t xml:space="preserve">Interés del período = capital inicial × tasa mensual, redondeado a dos decimales.</t>
      </text>
    </comment>
    <comment authorId="0" ref="I493">
      <text>
        <t xml:space="preserve">Capital e interés pactados. La última cuota ajusta el saldo por redondeo.</t>
      </text>
    </comment>
    <comment authorId="0" ref="J493">
      <text>
        <t xml:space="preserve">Capital amortizado TEÓRICO = cuota base − interés, limitado al saldo.</t>
      </text>
    </comment>
    <comment authorId="0" ref="K493">
      <text>
        <t xml:space="preserve">Seguro y otros cargos fijos del mes.</t>
      </text>
    </comment>
    <comment authorId="0" ref="L493">
      <text>
        <t xml:space="preserve">Cuota base + cargos.</t>
      </text>
    </comment>
    <comment authorId="0" ref="M493">
      <text>
        <t xml:space="preserve">Capital final del calendario teórico. No equivale al saldo real si hay pagos parciales o atrasos.</t>
      </text>
    </comment>
    <comment authorId="0" ref="N493">
      <text>
        <t xml:space="preserve">Suma de pagos válidos del mismo ID y cuota con fecha igual o anterior al corte.</t>
      </text>
    </comment>
    <comment authorId="0" ref="O493">
      <text>
        <t xml:space="preserve">MIN(amortización pactada; MAX(0; pagado − cargos − interés)). No imputa excedentes a otras cuotas.</t>
      </text>
    </comment>
    <comment authorId="0" ref="P493">
      <text>
        <t xml:space="preserve">MAX(0; total pactado − pagado a esta cuota). Incluye capital, interés y cargos pendientes de ESA cuota.</t>
      </text>
    </comment>
    <comment authorId="0" ref="Q493">
      <text>
        <t xml:space="preserve">Días desde vencimiento hasta corte, solo si venció antes del corte y sigue con saldo.</t>
      </text>
    </comment>
    <comment authorId="0" ref="R493">
      <text>
        <t xml:space="preserve">MAX(0; pagado − cuota pactada). Exceso para revisar: no se traspasa a otra cuota.</t>
      </text>
    </comment>
    <comment authorId="0" ref="S493">
      <text>
        <t xml:space="preserve">Pagada, Vencida, Vence hoy, Por vencer o Exceso sin imputar según fecha y saldo al corte.</t>
      </text>
    </comment>
    <comment authorId="0" ref="T493">
      <text>
        <t xml:space="preserve">Auxiliar para encontrar la primera cuota pendiente. El 999999 indica que esta cuota no tiene saldo pendiente o está fuera del plazo, y no es una fecha real.</t>
      </text>
    </comment>
    <comment authorId="0" ref="C494">
      <text>
        <t xml:space="preserve">Crédito al que corresponde esta cuota.</t>
      </text>
    </comment>
    <comment authorId="0" ref="D494">
      <text>
        <t xml:space="preserve">Número de cuota dentro del crédito.</t>
      </text>
    </comment>
    <comment authorId="0" ref="E494">
      <text>
        <t xml:space="preserve">Fecha según EDATE a partir del primer vencimiento. No ajusta automáticamente feriados.</t>
      </text>
    </comment>
    <comment authorId="0" ref="F494">
      <text>
        <t xml:space="preserve">Capital al inicio del período en el calendario ORIGINAL, sin recalcular por pagos reales.</t>
      </text>
    </comment>
    <comment authorId="0" ref="G494">
      <text>
        <t xml:space="preserve">Tasa efectiva del mes según la base ingresada.</t>
      </text>
    </comment>
    <comment authorId="0" ref="H494">
      <text>
        <t xml:space="preserve">Interés del período = capital inicial × tasa mensual, redondeado a dos decimales.</t>
      </text>
    </comment>
    <comment authorId="0" ref="I494">
      <text>
        <t xml:space="preserve">Capital e interés pactados. La última cuota ajusta el saldo por redondeo.</t>
      </text>
    </comment>
    <comment authorId="0" ref="J494">
      <text>
        <t xml:space="preserve">Capital amortizado TEÓRICO = cuota base − interés, limitado al saldo.</t>
      </text>
    </comment>
    <comment authorId="0" ref="K494">
      <text>
        <t xml:space="preserve">Seguro y otros cargos fijos del mes.</t>
      </text>
    </comment>
    <comment authorId="0" ref="L494">
      <text>
        <t xml:space="preserve">Cuota base + cargos.</t>
      </text>
    </comment>
    <comment authorId="0" ref="M494">
      <text>
        <t xml:space="preserve">Capital final del calendario teórico. No equivale al saldo real si hay pagos parciales o atrasos.</t>
      </text>
    </comment>
    <comment authorId="0" ref="N494">
      <text>
        <t xml:space="preserve">Suma de pagos válidos del mismo ID y cuota con fecha igual o anterior al corte.</t>
      </text>
    </comment>
    <comment authorId="0" ref="O494">
      <text>
        <t xml:space="preserve">MIN(amortización pactada; MAX(0; pagado − cargos − interés)). No imputa excedentes a otras cuotas.</t>
      </text>
    </comment>
    <comment authorId="0" ref="P494">
      <text>
        <t xml:space="preserve">MAX(0; total pactado − pagado a esta cuota). Incluye capital, interés y cargos pendientes de ESA cuota.</t>
      </text>
    </comment>
    <comment authorId="0" ref="Q494">
      <text>
        <t xml:space="preserve">Días desde vencimiento hasta corte, solo si venció antes del corte y sigue con saldo.</t>
      </text>
    </comment>
    <comment authorId="0" ref="R494">
      <text>
        <t xml:space="preserve">MAX(0; pagado − cuota pactada). Exceso para revisar: no se traspasa a otra cuota.</t>
      </text>
    </comment>
    <comment authorId="0" ref="S494">
      <text>
        <t xml:space="preserve">Pagada, Vencida, Vence hoy, Por vencer o Exceso sin imputar según fecha y saldo al corte.</t>
      </text>
    </comment>
    <comment authorId="0" ref="T494">
      <text>
        <t xml:space="preserve">Auxiliar para encontrar la primera cuota pendiente. El 999999 indica que esta cuota no tiene saldo pendiente o está fuera del plazo, y no es una fecha real.</t>
      </text>
    </comment>
    <comment authorId="0" ref="C495">
      <text>
        <t xml:space="preserve">Crédito al que corresponde esta cuota.</t>
      </text>
    </comment>
    <comment authorId="0" ref="D495">
      <text>
        <t xml:space="preserve">Número de cuota dentro del crédito.</t>
      </text>
    </comment>
    <comment authorId="0" ref="E495">
      <text>
        <t xml:space="preserve">Fecha según EDATE a partir del primer vencimiento. No ajusta automáticamente feriados.</t>
      </text>
    </comment>
    <comment authorId="0" ref="F495">
      <text>
        <t xml:space="preserve">Capital al inicio del período en el calendario ORIGINAL, sin recalcular por pagos reales.</t>
      </text>
    </comment>
    <comment authorId="0" ref="G495">
      <text>
        <t xml:space="preserve">Tasa efectiva del mes según la base ingresada.</t>
      </text>
    </comment>
    <comment authorId="0" ref="H495">
      <text>
        <t xml:space="preserve">Interés del período = capital inicial × tasa mensual, redondeado a dos decimales.</t>
      </text>
    </comment>
    <comment authorId="0" ref="I495">
      <text>
        <t xml:space="preserve">Capital e interés pactados. La última cuota ajusta el saldo por redondeo.</t>
      </text>
    </comment>
    <comment authorId="0" ref="J495">
      <text>
        <t xml:space="preserve">Capital amortizado TEÓRICO = cuota base − interés, limitado al saldo.</t>
      </text>
    </comment>
    <comment authorId="0" ref="K495">
      <text>
        <t xml:space="preserve">Seguro y otros cargos fijos del mes.</t>
      </text>
    </comment>
    <comment authorId="0" ref="L495">
      <text>
        <t xml:space="preserve">Cuota base + cargos.</t>
      </text>
    </comment>
    <comment authorId="0" ref="M495">
      <text>
        <t xml:space="preserve">Capital final del calendario teórico. No equivale al saldo real si hay pagos parciales o atrasos.</t>
      </text>
    </comment>
    <comment authorId="0" ref="N495">
      <text>
        <t xml:space="preserve">Suma de pagos válidos del mismo ID y cuota con fecha igual o anterior al corte.</t>
      </text>
    </comment>
    <comment authorId="0" ref="O495">
      <text>
        <t xml:space="preserve">MIN(amortización pactada; MAX(0; pagado − cargos − interés)). No imputa excedentes a otras cuotas.</t>
      </text>
    </comment>
    <comment authorId="0" ref="P495">
      <text>
        <t xml:space="preserve">MAX(0; total pactado − pagado a esta cuota). Incluye capital, interés y cargos pendientes de ESA cuota.</t>
      </text>
    </comment>
    <comment authorId="0" ref="Q495">
      <text>
        <t xml:space="preserve">Días desde vencimiento hasta corte, solo si venció antes del corte y sigue con saldo.</t>
      </text>
    </comment>
    <comment authorId="0" ref="R495">
      <text>
        <t xml:space="preserve">MAX(0; pagado − cuota pactada). Exceso para revisar: no se traspasa a otra cuota.</t>
      </text>
    </comment>
    <comment authorId="0" ref="S495">
      <text>
        <t xml:space="preserve">Pagada, Vencida, Vence hoy, Por vencer o Exceso sin imputar según fecha y saldo al corte.</t>
      </text>
    </comment>
    <comment authorId="0" ref="T495">
      <text>
        <t xml:space="preserve">Auxiliar para encontrar la primera cuota pendiente. El 999999 indica que esta cuota no tiene saldo pendiente o está fuera del plazo, y no es una fecha real.</t>
      </text>
    </comment>
    <comment authorId="0" ref="C496">
      <text>
        <t xml:space="preserve">Crédito al que corresponde esta cuota.</t>
      </text>
    </comment>
    <comment authorId="0" ref="D496">
      <text>
        <t xml:space="preserve">Número de cuota dentro del crédito.</t>
      </text>
    </comment>
    <comment authorId="0" ref="E496">
      <text>
        <t xml:space="preserve">Fecha según EDATE a partir del primer vencimiento. No ajusta automáticamente feriados.</t>
      </text>
    </comment>
    <comment authorId="0" ref="F496">
      <text>
        <t xml:space="preserve">Capital al inicio del período en el calendario ORIGINAL, sin recalcular por pagos reales.</t>
      </text>
    </comment>
    <comment authorId="0" ref="G496">
      <text>
        <t xml:space="preserve">Tasa efectiva del mes según la base ingresada.</t>
      </text>
    </comment>
    <comment authorId="0" ref="H496">
      <text>
        <t xml:space="preserve">Interés del período = capital inicial × tasa mensual, redondeado a dos decimales.</t>
      </text>
    </comment>
    <comment authorId="0" ref="I496">
      <text>
        <t xml:space="preserve">Capital e interés pactados. La última cuota ajusta el saldo por redondeo.</t>
      </text>
    </comment>
    <comment authorId="0" ref="J496">
      <text>
        <t xml:space="preserve">Capital amortizado TEÓRICO = cuota base − interés, limitado al saldo.</t>
      </text>
    </comment>
    <comment authorId="0" ref="K496">
      <text>
        <t xml:space="preserve">Seguro y otros cargos fijos del mes.</t>
      </text>
    </comment>
    <comment authorId="0" ref="L496">
      <text>
        <t xml:space="preserve">Cuota base + cargos.</t>
      </text>
    </comment>
    <comment authorId="0" ref="M496">
      <text>
        <t xml:space="preserve">Capital final del calendario teórico. No equivale al saldo real si hay pagos parciales o atrasos.</t>
      </text>
    </comment>
    <comment authorId="0" ref="N496">
      <text>
        <t xml:space="preserve">Suma de pagos válidos del mismo ID y cuota con fecha igual o anterior al corte.</t>
      </text>
    </comment>
    <comment authorId="0" ref="O496">
      <text>
        <t xml:space="preserve">MIN(amortización pactada; MAX(0; pagado − cargos − interés)). No imputa excedentes a otras cuotas.</t>
      </text>
    </comment>
    <comment authorId="0" ref="P496">
      <text>
        <t xml:space="preserve">MAX(0; total pactado − pagado a esta cuota). Incluye capital, interés y cargos pendientes de ESA cuota.</t>
      </text>
    </comment>
    <comment authorId="0" ref="Q496">
      <text>
        <t xml:space="preserve">Días desde vencimiento hasta corte, solo si venció antes del corte y sigue con saldo.</t>
      </text>
    </comment>
    <comment authorId="0" ref="R496">
      <text>
        <t xml:space="preserve">MAX(0; pagado − cuota pactada). Exceso para revisar: no se traspasa a otra cuota.</t>
      </text>
    </comment>
    <comment authorId="0" ref="S496">
      <text>
        <t xml:space="preserve">Pagada, Vencida, Vence hoy, Por vencer o Exceso sin imputar según fecha y saldo al corte.</t>
      </text>
    </comment>
    <comment authorId="0" ref="T496">
      <text>
        <t xml:space="preserve">Auxiliar para encontrar la primera cuota pendiente. El 999999 indica que esta cuota no tiene saldo pendiente o está fuera del plazo, y no es una fecha real.</t>
      </text>
    </comment>
    <comment authorId="0" ref="C497">
      <text>
        <t xml:space="preserve">Crédito al que corresponde esta cuota.</t>
      </text>
    </comment>
    <comment authorId="0" ref="D497">
      <text>
        <t xml:space="preserve">Número de cuota dentro del crédito.</t>
      </text>
    </comment>
    <comment authorId="0" ref="E497">
      <text>
        <t xml:space="preserve">Fecha según EDATE a partir del primer vencimiento. No ajusta automáticamente feriados.</t>
      </text>
    </comment>
    <comment authorId="0" ref="F497">
      <text>
        <t xml:space="preserve">Capital al inicio del período en el calendario ORIGINAL, sin recalcular por pagos reales.</t>
      </text>
    </comment>
    <comment authorId="0" ref="G497">
      <text>
        <t xml:space="preserve">Tasa efectiva del mes según la base ingresada.</t>
      </text>
    </comment>
    <comment authorId="0" ref="H497">
      <text>
        <t xml:space="preserve">Interés del período = capital inicial × tasa mensual, redondeado a dos decimales.</t>
      </text>
    </comment>
    <comment authorId="0" ref="I497">
      <text>
        <t xml:space="preserve">Capital e interés pactados. La última cuota ajusta el saldo por redondeo.</t>
      </text>
    </comment>
    <comment authorId="0" ref="J497">
      <text>
        <t xml:space="preserve">Capital amortizado TEÓRICO = cuota base − interés, limitado al saldo.</t>
      </text>
    </comment>
    <comment authorId="0" ref="K497">
      <text>
        <t xml:space="preserve">Seguro y otros cargos fijos del mes.</t>
      </text>
    </comment>
    <comment authorId="0" ref="L497">
      <text>
        <t xml:space="preserve">Cuota base + cargos.</t>
      </text>
    </comment>
    <comment authorId="0" ref="M497">
      <text>
        <t xml:space="preserve">Capital final del calendario teórico. No equivale al saldo real si hay pagos parciales o atrasos.</t>
      </text>
    </comment>
    <comment authorId="0" ref="N497">
      <text>
        <t xml:space="preserve">Suma de pagos válidos del mismo ID y cuota con fecha igual o anterior al corte.</t>
      </text>
    </comment>
    <comment authorId="0" ref="O497">
      <text>
        <t xml:space="preserve">MIN(amortización pactada; MAX(0; pagado − cargos − interés)). No imputa excedentes a otras cuotas.</t>
      </text>
    </comment>
    <comment authorId="0" ref="P497">
      <text>
        <t xml:space="preserve">MAX(0; total pactado − pagado a esta cuota). Incluye capital, interés y cargos pendientes de ESA cuota.</t>
      </text>
    </comment>
    <comment authorId="0" ref="Q497">
      <text>
        <t xml:space="preserve">Días desde vencimiento hasta corte, solo si venció antes del corte y sigue con saldo.</t>
      </text>
    </comment>
    <comment authorId="0" ref="R497">
      <text>
        <t xml:space="preserve">MAX(0; pagado − cuota pactada). Exceso para revisar: no se traspasa a otra cuota.</t>
      </text>
    </comment>
    <comment authorId="0" ref="S497">
      <text>
        <t xml:space="preserve">Pagada, Vencida, Vence hoy, Por vencer o Exceso sin imputar según fecha y saldo al corte.</t>
      </text>
    </comment>
    <comment authorId="0" ref="T497">
      <text>
        <t xml:space="preserve">Auxiliar para encontrar la primera cuota pendiente. El 999999 indica que esta cuota no tiene saldo pendiente o está fuera del plazo, y no es una fecha real.</t>
      </text>
    </comment>
    <comment authorId="0" ref="C498">
      <text>
        <t xml:space="preserve">Crédito al que corresponde esta cuota.</t>
      </text>
    </comment>
    <comment authorId="0" ref="D498">
      <text>
        <t xml:space="preserve">Número de cuota dentro del crédito.</t>
      </text>
    </comment>
    <comment authorId="0" ref="E498">
      <text>
        <t xml:space="preserve">Fecha según EDATE a partir del primer vencimiento. No ajusta automáticamente feriados.</t>
      </text>
    </comment>
    <comment authorId="0" ref="F498">
      <text>
        <t xml:space="preserve">Capital al inicio del período en el calendario ORIGINAL, sin recalcular por pagos reales.</t>
      </text>
    </comment>
    <comment authorId="0" ref="G498">
      <text>
        <t xml:space="preserve">Tasa efectiva del mes según la base ingresada.</t>
      </text>
    </comment>
    <comment authorId="0" ref="H498">
      <text>
        <t xml:space="preserve">Interés del período = capital inicial × tasa mensual, redondeado a dos decimales.</t>
      </text>
    </comment>
    <comment authorId="0" ref="I498">
      <text>
        <t xml:space="preserve">Capital e interés pactados. La última cuota ajusta el saldo por redondeo.</t>
      </text>
    </comment>
    <comment authorId="0" ref="J498">
      <text>
        <t xml:space="preserve">Capital amortizado TEÓRICO = cuota base − interés, limitado al saldo.</t>
      </text>
    </comment>
    <comment authorId="0" ref="K498">
      <text>
        <t xml:space="preserve">Seguro y otros cargos fijos del mes.</t>
      </text>
    </comment>
    <comment authorId="0" ref="L498">
      <text>
        <t xml:space="preserve">Cuota base + cargos.</t>
      </text>
    </comment>
    <comment authorId="0" ref="M498">
      <text>
        <t xml:space="preserve">Capital final del calendario teórico. No equivale al saldo real si hay pagos parciales o atrasos.</t>
      </text>
    </comment>
    <comment authorId="0" ref="N498">
      <text>
        <t xml:space="preserve">Suma de pagos válidos del mismo ID y cuota con fecha igual o anterior al corte.</t>
      </text>
    </comment>
    <comment authorId="0" ref="O498">
      <text>
        <t xml:space="preserve">MIN(amortización pactada; MAX(0; pagado − cargos − interés)). No imputa excedentes a otras cuotas.</t>
      </text>
    </comment>
    <comment authorId="0" ref="P498">
      <text>
        <t xml:space="preserve">MAX(0; total pactado − pagado a esta cuota). Incluye capital, interés y cargos pendientes de ESA cuota.</t>
      </text>
    </comment>
    <comment authorId="0" ref="Q498">
      <text>
        <t xml:space="preserve">Días desde vencimiento hasta corte, solo si venció antes del corte y sigue con saldo.</t>
      </text>
    </comment>
    <comment authorId="0" ref="R498">
      <text>
        <t xml:space="preserve">MAX(0; pagado − cuota pactada). Exceso para revisar: no se traspasa a otra cuota.</t>
      </text>
    </comment>
    <comment authorId="0" ref="S498">
      <text>
        <t xml:space="preserve">Pagada, Vencida, Vence hoy, Por vencer o Exceso sin imputar según fecha y saldo al corte.</t>
      </text>
    </comment>
    <comment authorId="0" ref="T498">
      <text>
        <t xml:space="preserve">Auxiliar para encontrar la primera cuota pendiente. El 999999 indica que esta cuota no tiene saldo pendiente o está fuera del plazo, y no es una fecha real.</t>
      </text>
    </comment>
    <comment authorId="0" ref="C499">
      <text>
        <t xml:space="preserve">Crédito al que corresponde esta cuota.</t>
      </text>
    </comment>
    <comment authorId="0" ref="D499">
      <text>
        <t xml:space="preserve">Número de cuota dentro del crédito.</t>
      </text>
    </comment>
    <comment authorId="0" ref="E499">
      <text>
        <t xml:space="preserve">Fecha según EDATE a partir del primer vencimiento. No ajusta automáticamente feriados.</t>
      </text>
    </comment>
    <comment authorId="0" ref="F499">
      <text>
        <t xml:space="preserve">Capital al inicio del período en el calendario ORIGINAL, sin recalcular por pagos reales.</t>
      </text>
    </comment>
    <comment authorId="0" ref="G499">
      <text>
        <t xml:space="preserve">Tasa efectiva del mes según la base ingresada.</t>
      </text>
    </comment>
    <comment authorId="0" ref="H499">
      <text>
        <t xml:space="preserve">Interés del período = capital inicial × tasa mensual, redondeado a dos decimales.</t>
      </text>
    </comment>
    <comment authorId="0" ref="I499">
      <text>
        <t xml:space="preserve">Capital e interés pactados. La última cuota ajusta el saldo por redondeo.</t>
      </text>
    </comment>
    <comment authorId="0" ref="J499">
      <text>
        <t xml:space="preserve">Capital amortizado TEÓRICO = cuota base − interés, limitado al saldo.</t>
      </text>
    </comment>
    <comment authorId="0" ref="K499">
      <text>
        <t xml:space="preserve">Seguro y otros cargos fijos del mes.</t>
      </text>
    </comment>
    <comment authorId="0" ref="L499">
      <text>
        <t xml:space="preserve">Cuota base + cargos.</t>
      </text>
    </comment>
    <comment authorId="0" ref="M499">
      <text>
        <t xml:space="preserve">Capital final del calendario teórico. No equivale al saldo real si hay pagos parciales o atrasos.</t>
      </text>
    </comment>
    <comment authorId="0" ref="N499">
      <text>
        <t xml:space="preserve">Suma de pagos válidos del mismo ID y cuota con fecha igual o anterior al corte.</t>
      </text>
    </comment>
    <comment authorId="0" ref="O499">
      <text>
        <t xml:space="preserve">MIN(amortización pactada; MAX(0; pagado − cargos − interés)). No imputa excedentes a otras cuotas.</t>
      </text>
    </comment>
    <comment authorId="0" ref="P499">
      <text>
        <t xml:space="preserve">MAX(0; total pactado − pagado a esta cuota). Incluye capital, interés y cargos pendientes de ESA cuota.</t>
      </text>
    </comment>
    <comment authorId="0" ref="Q499">
      <text>
        <t xml:space="preserve">Días desde vencimiento hasta corte, solo si venció antes del corte y sigue con saldo.</t>
      </text>
    </comment>
    <comment authorId="0" ref="R499">
      <text>
        <t xml:space="preserve">MAX(0; pagado − cuota pactada). Exceso para revisar: no se traspasa a otra cuota.</t>
      </text>
    </comment>
    <comment authorId="0" ref="S499">
      <text>
        <t xml:space="preserve">Pagada, Vencida, Vence hoy, Por vencer o Exceso sin imputar según fecha y saldo al corte.</t>
      </text>
    </comment>
    <comment authorId="0" ref="T499">
      <text>
        <t xml:space="preserve">Auxiliar para encontrar la primera cuota pendiente. El 999999 indica que esta cuota no tiene saldo pendiente o está fuera del plazo, y no es una fecha real.</t>
      </text>
    </comment>
    <comment authorId="0" ref="C500">
      <text>
        <t xml:space="preserve">Crédito al que corresponde esta cuota.</t>
      </text>
    </comment>
    <comment authorId="0" ref="D500">
      <text>
        <t xml:space="preserve">Número de cuota dentro del crédito.</t>
      </text>
    </comment>
    <comment authorId="0" ref="E500">
      <text>
        <t xml:space="preserve">Fecha según EDATE a partir del primer vencimiento. No ajusta automáticamente feriados.</t>
      </text>
    </comment>
    <comment authorId="0" ref="F500">
      <text>
        <t xml:space="preserve">Capital al inicio del período en el calendario ORIGINAL, sin recalcular por pagos reales.</t>
      </text>
    </comment>
    <comment authorId="0" ref="G500">
      <text>
        <t xml:space="preserve">Tasa efectiva del mes según la base ingresada.</t>
      </text>
    </comment>
    <comment authorId="0" ref="H500">
      <text>
        <t xml:space="preserve">Interés del período = capital inicial × tasa mensual, redondeado a dos decimales.</t>
      </text>
    </comment>
    <comment authorId="0" ref="I500">
      <text>
        <t xml:space="preserve">Capital e interés pactados. La última cuota ajusta el saldo por redondeo.</t>
      </text>
    </comment>
    <comment authorId="0" ref="J500">
      <text>
        <t xml:space="preserve">Capital amortizado TEÓRICO = cuota base − interés, limitado al saldo.</t>
      </text>
    </comment>
    <comment authorId="0" ref="K500">
      <text>
        <t xml:space="preserve">Seguro y otros cargos fijos del mes.</t>
      </text>
    </comment>
    <comment authorId="0" ref="L500">
      <text>
        <t xml:space="preserve">Cuota base + cargos.</t>
      </text>
    </comment>
    <comment authorId="0" ref="M500">
      <text>
        <t xml:space="preserve">Capital final del calendario teórico. No equivale al saldo real si hay pagos parciales o atrasos.</t>
      </text>
    </comment>
    <comment authorId="0" ref="N500">
      <text>
        <t xml:space="preserve">Suma de pagos válidos del mismo ID y cuota con fecha igual o anterior al corte.</t>
      </text>
    </comment>
    <comment authorId="0" ref="O500">
      <text>
        <t xml:space="preserve">MIN(amortización pactada; MAX(0; pagado − cargos − interés)). No imputa excedentes a otras cuotas.</t>
      </text>
    </comment>
    <comment authorId="0" ref="P500">
      <text>
        <t xml:space="preserve">MAX(0; total pactado − pagado a esta cuota). Incluye capital, interés y cargos pendientes de ESA cuota.</t>
      </text>
    </comment>
    <comment authorId="0" ref="Q500">
      <text>
        <t xml:space="preserve">Días desde vencimiento hasta corte, solo si venció antes del corte y sigue con saldo.</t>
      </text>
    </comment>
    <comment authorId="0" ref="R500">
      <text>
        <t xml:space="preserve">MAX(0; pagado − cuota pactada). Exceso para revisar: no se traspasa a otra cuota.</t>
      </text>
    </comment>
    <comment authorId="0" ref="S500">
      <text>
        <t xml:space="preserve">Pagada, Vencida, Vence hoy, Por vencer o Exceso sin imputar según fecha y saldo al corte.</t>
      </text>
    </comment>
    <comment authorId="0" ref="T500">
      <text>
        <t xml:space="preserve">Auxiliar para encontrar la primera cuota pendiente. El 999999 indica que esta cuota no tiene saldo pendiente o está fuera del plazo, y no es una fecha real.</t>
      </text>
    </comment>
    <comment authorId="0" ref="C501">
      <text>
        <t xml:space="preserve">Crédito al que corresponde esta cuota.</t>
      </text>
    </comment>
    <comment authorId="0" ref="D501">
      <text>
        <t xml:space="preserve">Número de cuota dentro del crédito.</t>
      </text>
    </comment>
    <comment authorId="0" ref="E501">
      <text>
        <t xml:space="preserve">Fecha según EDATE a partir del primer vencimiento. No ajusta automáticamente feriados.</t>
      </text>
    </comment>
    <comment authorId="0" ref="F501">
      <text>
        <t xml:space="preserve">Capital al inicio del período en el calendario ORIGINAL, sin recalcular por pagos reales.</t>
      </text>
    </comment>
    <comment authorId="0" ref="G501">
      <text>
        <t xml:space="preserve">Tasa efectiva del mes según la base ingresada.</t>
      </text>
    </comment>
    <comment authorId="0" ref="H501">
      <text>
        <t xml:space="preserve">Interés del período = capital inicial × tasa mensual, redondeado a dos decimales.</t>
      </text>
    </comment>
    <comment authorId="0" ref="I501">
      <text>
        <t xml:space="preserve">Capital e interés pactados. La última cuota ajusta el saldo por redondeo.</t>
      </text>
    </comment>
    <comment authorId="0" ref="J501">
      <text>
        <t xml:space="preserve">Capital amortizado TEÓRICO = cuota base − interés, limitado al saldo.</t>
      </text>
    </comment>
    <comment authorId="0" ref="K501">
      <text>
        <t xml:space="preserve">Seguro y otros cargos fijos del mes.</t>
      </text>
    </comment>
    <comment authorId="0" ref="L501">
      <text>
        <t xml:space="preserve">Cuota base + cargos.</t>
      </text>
    </comment>
    <comment authorId="0" ref="M501">
      <text>
        <t xml:space="preserve">Capital final del calendario teórico. No equivale al saldo real si hay pagos parciales o atrasos.</t>
      </text>
    </comment>
    <comment authorId="0" ref="N501">
      <text>
        <t xml:space="preserve">Suma de pagos válidos del mismo ID y cuota con fecha igual o anterior al corte.</t>
      </text>
    </comment>
    <comment authorId="0" ref="O501">
      <text>
        <t xml:space="preserve">MIN(amortización pactada; MAX(0; pagado − cargos − interés)). No imputa excedentes a otras cuotas.</t>
      </text>
    </comment>
    <comment authorId="0" ref="P501">
      <text>
        <t xml:space="preserve">MAX(0; total pactado − pagado a esta cuota). Incluye capital, interés y cargos pendientes de ESA cuota.</t>
      </text>
    </comment>
    <comment authorId="0" ref="Q501">
      <text>
        <t xml:space="preserve">Días desde vencimiento hasta corte, solo si venció antes del corte y sigue con saldo.</t>
      </text>
    </comment>
    <comment authorId="0" ref="R501">
      <text>
        <t xml:space="preserve">MAX(0; pagado − cuota pactada). Exceso para revisar: no se traspasa a otra cuota.</t>
      </text>
    </comment>
    <comment authorId="0" ref="S501">
      <text>
        <t xml:space="preserve">Pagada, Vencida, Vence hoy, Por vencer o Exceso sin imputar según fecha y saldo al corte.</t>
      </text>
    </comment>
    <comment authorId="0" ref="T501">
      <text>
        <t xml:space="preserve">Auxiliar para encontrar la primera cuota pendiente. El 999999 indica que esta cuota no tiene saldo pendiente o está fuera del plazo, y no es una fecha real.</t>
      </text>
    </comment>
    <comment authorId="0" ref="C502">
      <text>
        <t xml:space="preserve">Crédito al que corresponde esta cuota.</t>
      </text>
    </comment>
    <comment authorId="0" ref="D502">
      <text>
        <t xml:space="preserve">Número de cuota dentro del crédito.</t>
      </text>
    </comment>
    <comment authorId="0" ref="E502">
      <text>
        <t xml:space="preserve">Fecha según EDATE a partir del primer vencimiento. No ajusta automáticamente feriados.</t>
      </text>
    </comment>
    <comment authorId="0" ref="F502">
      <text>
        <t xml:space="preserve">Capital al inicio del período en el calendario ORIGINAL, sin recalcular por pagos reales.</t>
      </text>
    </comment>
    <comment authorId="0" ref="G502">
      <text>
        <t xml:space="preserve">Tasa efectiva del mes según la base ingresada.</t>
      </text>
    </comment>
    <comment authorId="0" ref="H502">
      <text>
        <t xml:space="preserve">Interés del período = capital inicial × tasa mensual, redondeado a dos decimales.</t>
      </text>
    </comment>
    <comment authorId="0" ref="I502">
      <text>
        <t xml:space="preserve">Capital e interés pactados. La última cuota ajusta el saldo por redondeo.</t>
      </text>
    </comment>
    <comment authorId="0" ref="J502">
      <text>
        <t xml:space="preserve">Capital amortizado TEÓRICO = cuota base − interés, limitado al saldo.</t>
      </text>
    </comment>
    <comment authorId="0" ref="K502">
      <text>
        <t xml:space="preserve">Seguro y otros cargos fijos del mes.</t>
      </text>
    </comment>
    <comment authorId="0" ref="L502">
      <text>
        <t xml:space="preserve">Cuota base + cargos.</t>
      </text>
    </comment>
    <comment authorId="0" ref="M502">
      <text>
        <t xml:space="preserve">Capital final del calendario teórico. No equivale al saldo real si hay pagos parciales o atrasos.</t>
      </text>
    </comment>
    <comment authorId="0" ref="N502">
      <text>
        <t xml:space="preserve">Suma de pagos válidos del mismo ID y cuota con fecha igual o anterior al corte.</t>
      </text>
    </comment>
    <comment authorId="0" ref="O502">
      <text>
        <t xml:space="preserve">MIN(amortización pactada; MAX(0; pagado − cargos − interés)). No imputa excedentes a otras cuotas.</t>
      </text>
    </comment>
    <comment authorId="0" ref="P502">
      <text>
        <t xml:space="preserve">MAX(0; total pactado − pagado a esta cuota). Incluye capital, interés y cargos pendientes de ESA cuota.</t>
      </text>
    </comment>
    <comment authorId="0" ref="Q502">
      <text>
        <t xml:space="preserve">Días desde vencimiento hasta corte, solo si venció antes del corte y sigue con saldo.</t>
      </text>
    </comment>
    <comment authorId="0" ref="R502">
      <text>
        <t xml:space="preserve">MAX(0; pagado − cuota pactada). Exceso para revisar: no se traspasa a otra cuota.</t>
      </text>
    </comment>
    <comment authorId="0" ref="S502">
      <text>
        <t xml:space="preserve">Pagada, Vencida, Vence hoy, Por vencer o Exceso sin imputar según fecha y saldo al corte.</t>
      </text>
    </comment>
    <comment authorId="0" ref="T502">
      <text>
        <t xml:space="preserve">Auxiliar para encontrar la primera cuota pendiente. El 999999 indica que esta cuota no tiene saldo pendiente o está fuera del plazo, y no es una fecha real.</t>
      </text>
    </comment>
    <comment authorId="0" ref="C503">
      <text>
        <t xml:space="preserve">Crédito al que corresponde esta cuota.</t>
      </text>
    </comment>
    <comment authorId="0" ref="D503">
      <text>
        <t xml:space="preserve">Número de cuota dentro del crédito.</t>
      </text>
    </comment>
    <comment authorId="0" ref="E503">
      <text>
        <t xml:space="preserve">Fecha según EDATE a partir del primer vencimiento. No ajusta automáticamente feriados.</t>
      </text>
    </comment>
    <comment authorId="0" ref="F503">
      <text>
        <t xml:space="preserve">Capital al inicio del período en el calendario ORIGINAL, sin recalcular por pagos reales.</t>
      </text>
    </comment>
    <comment authorId="0" ref="G503">
      <text>
        <t xml:space="preserve">Tasa efectiva del mes según la base ingresada.</t>
      </text>
    </comment>
    <comment authorId="0" ref="H503">
      <text>
        <t xml:space="preserve">Interés del período = capital inicial × tasa mensual, redondeado a dos decimales.</t>
      </text>
    </comment>
    <comment authorId="0" ref="I503">
      <text>
        <t xml:space="preserve">Capital e interés pactados. La última cuota ajusta el saldo por redondeo.</t>
      </text>
    </comment>
    <comment authorId="0" ref="J503">
      <text>
        <t xml:space="preserve">Capital amortizado TEÓRICO = cuota base − interés, limitado al saldo.</t>
      </text>
    </comment>
    <comment authorId="0" ref="K503">
      <text>
        <t xml:space="preserve">Seguro y otros cargos fijos del mes.</t>
      </text>
    </comment>
    <comment authorId="0" ref="L503">
      <text>
        <t xml:space="preserve">Cuota base + cargos.</t>
      </text>
    </comment>
    <comment authorId="0" ref="M503">
      <text>
        <t xml:space="preserve">Capital final del calendario teórico. No equivale al saldo real si hay pagos parciales o atrasos.</t>
      </text>
    </comment>
    <comment authorId="0" ref="N503">
      <text>
        <t xml:space="preserve">Suma de pagos válidos del mismo ID y cuota con fecha igual o anterior al corte.</t>
      </text>
    </comment>
    <comment authorId="0" ref="O503">
      <text>
        <t xml:space="preserve">MIN(amortización pactada; MAX(0; pagado − cargos − interés)). No imputa excedentes a otras cuotas.</t>
      </text>
    </comment>
    <comment authorId="0" ref="P503">
      <text>
        <t xml:space="preserve">MAX(0; total pactado − pagado a esta cuota). Incluye capital, interés y cargos pendientes de ESA cuota.</t>
      </text>
    </comment>
    <comment authorId="0" ref="Q503">
      <text>
        <t xml:space="preserve">Días desde vencimiento hasta corte, solo si venció antes del corte y sigue con saldo.</t>
      </text>
    </comment>
    <comment authorId="0" ref="R503">
      <text>
        <t xml:space="preserve">MAX(0; pagado − cuota pactada). Exceso para revisar: no se traspasa a otra cuota.</t>
      </text>
    </comment>
    <comment authorId="0" ref="S503">
      <text>
        <t xml:space="preserve">Pagada, Vencida, Vence hoy, Por vencer o Exceso sin imputar según fecha y saldo al corte.</t>
      </text>
    </comment>
    <comment authorId="0" ref="T503">
      <text>
        <t xml:space="preserve">Auxiliar para encontrar la primera cuota pendiente. El 999999 indica que esta cuota no tiene saldo pendiente o está fuera del plazo, y no es una fecha real.</t>
      </text>
    </comment>
    <comment authorId="0" ref="C504">
      <text>
        <t xml:space="preserve">Crédito al que corresponde esta cuota.</t>
      </text>
    </comment>
    <comment authorId="0" ref="D504">
      <text>
        <t xml:space="preserve">Número de cuota dentro del crédito.</t>
      </text>
    </comment>
    <comment authorId="0" ref="E504">
      <text>
        <t xml:space="preserve">Fecha según EDATE a partir del primer vencimiento. No ajusta automáticamente feriados.</t>
      </text>
    </comment>
    <comment authorId="0" ref="F504">
      <text>
        <t xml:space="preserve">Capital al inicio del período en el calendario ORIGINAL, sin recalcular por pagos reales.</t>
      </text>
    </comment>
    <comment authorId="0" ref="G504">
      <text>
        <t xml:space="preserve">Tasa efectiva del mes según la base ingresada.</t>
      </text>
    </comment>
    <comment authorId="0" ref="H504">
      <text>
        <t xml:space="preserve">Interés del período = capital inicial × tasa mensual, redondeado a dos decimales.</t>
      </text>
    </comment>
    <comment authorId="0" ref="I504">
      <text>
        <t xml:space="preserve">Capital e interés pactados. La última cuota ajusta el saldo por redondeo.</t>
      </text>
    </comment>
    <comment authorId="0" ref="J504">
      <text>
        <t xml:space="preserve">Capital amortizado TEÓRICO = cuota base − interés, limitado al saldo.</t>
      </text>
    </comment>
    <comment authorId="0" ref="K504">
      <text>
        <t xml:space="preserve">Seguro y otros cargos fijos del mes.</t>
      </text>
    </comment>
    <comment authorId="0" ref="L504">
      <text>
        <t xml:space="preserve">Cuota base + cargos.</t>
      </text>
    </comment>
    <comment authorId="0" ref="M504">
      <text>
        <t xml:space="preserve">Capital final del calendario teórico. No equivale al saldo real si hay pagos parciales o atrasos.</t>
      </text>
    </comment>
    <comment authorId="0" ref="N504">
      <text>
        <t xml:space="preserve">Suma de pagos válidos del mismo ID y cuota con fecha igual o anterior al corte.</t>
      </text>
    </comment>
    <comment authorId="0" ref="O504">
      <text>
        <t xml:space="preserve">MIN(amortización pactada; MAX(0; pagado − cargos − interés)). No imputa excedentes a otras cuotas.</t>
      </text>
    </comment>
    <comment authorId="0" ref="P504">
      <text>
        <t xml:space="preserve">MAX(0; total pactado − pagado a esta cuota). Incluye capital, interés y cargos pendientes de ESA cuota.</t>
      </text>
    </comment>
    <comment authorId="0" ref="Q504">
      <text>
        <t xml:space="preserve">Días desde vencimiento hasta corte, solo si venció antes del corte y sigue con saldo.</t>
      </text>
    </comment>
    <comment authorId="0" ref="R504">
      <text>
        <t xml:space="preserve">MAX(0; pagado − cuota pactada). Exceso para revisar: no se traspasa a otra cuota.</t>
      </text>
    </comment>
    <comment authorId="0" ref="S504">
      <text>
        <t xml:space="preserve">Pagada, Vencida, Vence hoy, Por vencer o Exceso sin imputar según fecha y saldo al corte.</t>
      </text>
    </comment>
    <comment authorId="0" ref="T504">
      <text>
        <t xml:space="preserve">Auxiliar para encontrar la primera cuota pendiente. El 999999 indica que esta cuota no tiene saldo pendiente o está fuera del plazo, y no es una fecha real.</t>
      </text>
    </comment>
    <comment authorId="0" ref="C505">
      <text>
        <t xml:space="preserve">Crédito al que corresponde esta cuota.</t>
      </text>
    </comment>
    <comment authorId="0" ref="D505">
      <text>
        <t xml:space="preserve">Número de cuota dentro del crédito.</t>
      </text>
    </comment>
    <comment authorId="0" ref="E505">
      <text>
        <t xml:space="preserve">Fecha según EDATE a partir del primer vencimiento. No ajusta automáticamente feriados.</t>
      </text>
    </comment>
    <comment authorId="0" ref="F505">
      <text>
        <t xml:space="preserve">Capital al inicio del período en el calendario ORIGINAL, sin recalcular por pagos reales.</t>
      </text>
    </comment>
    <comment authorId="0" ref="G505">
      <text>
        <t xml:space="preserve">Tasa efectiva del mes según la base ingresada.</t>
      </text>
    </comment>
    <comment authorId="0" ref="H505">
      <text>
        <t xml:space="preserve">Interés del período = capital inicial × tasa mensual, redondeado a dos decimales.</t>
      </text>
    </comment>
    <comment authorId="0" ref="I505">
      <text>
        <t xml:space="preserve">Capital e interés pactados. La última cuota ajusta el saldo por redondeo.</t>
      </text>
    </comment>
    <comment authorId="0" ref="J505">
      <text>
        <t xml:space="preserve">Capital amortizado TEÓRICO = cuota base − interés, limitado al saldo.</t>
      </text>
    </comment>
    <comment authorId="0" ref="K505">
      <text>
        <t xml:space="preserve">Seguro y otros cargos fijos del mes.</t>
      </text>
    </comment>
    <comment authorId="0" ref="L505">
      <text>
        <t xml:space="preserve">Cuota base + cargos.</t>
      </text>
    </comment>
    <comment authorId="0" ref="M505">
      <text>
        <t xml:space="preserve">Capital final del calendario teórico. No equivale al saldo real si hay pagos parciales o atrasos.</t>
      </text>
    </comment>
    <comment authorId="0" ref="N505">
      <text>
        <t xml:space="preserve">Suma de pagos válidos del mismo ID y cuota con fecha igual o anterior al corte.</t>
      </text>
    </comment>
    <comment authorId="0" ref="O505">
      <text>
        <t xml:space="preserve">MIN(amortización pactada; MAX(0; pagado − cargos − interés)). No imputa excedentes a otras cuotas.</t>
      </text>
    </comment>
    <comment authorId="0" ref="P505">
      <text>
        <t xml:space="preserve">MAX(0; total pactado − pagado a esta cuota). Incluye capital, interés y cargos pendientes de ESA cuota.</t>
      </text>
    </comment>
    <comment authorId="0" ref="Q505">
      <text>
        <t xml:space="preserve">Días desde vencimiento hasta corte, solo si venció antes del corte y sigue con saldo.</t>
      </text>
    </comment>
    <comment authorId="0" ref="R505">
      <text>
        <t xml:space="preserve">MAX(0; pagado − cuota pactada). Exceso para revisar: no se traspasa a otra cuota.</t>
      </text>
    </comment>
    <comment authorId="0" ref="S505">
      <text>
        <t xml:space="preserve">Pagada, Vencida, Vence hoy, Por vencer o Exceso sin imputar según fecha y saldo al corte.</t>
      </text>
    </comment>
    <comment authorId="0" ref="T505">
      <text>
        <t xml:space="preserve">Auxiliar para encontrar la primera cuota pendiente. El 999999 indica que esta cuota no tiene saldo pendiente o está fuera del plazo, y no es una fecha real.</t>
      </text>
    </comment>
    <comment authorId="0" ref="C506">
      <text>
        <t xml:space="preserve">Crédito al que corresponde esta cuota.</t>
      </text>
    </comment>
    <comment authorId="0" ref="D506">
      <text>
        <t xml:space="preserve">Número de cuota dentro del crédito.</t>
      </text>
    </comment>
    <comment authorId="0" ref="E506">
      <text>
        <t xml:space="preserve">Fecha según EDATE a partir del primer vencimiento. No ajusta automáticamente feriados.</t>
      </text>
    </comment>
    <comment authorId="0" ref="F506">
      <text>
        <t xml:space="preserve">Capital al inicio del período en el calendario ORIGINAL, sin recalcular por pagos reales.</t>
      </text>
    </comment>
    <comment authorId="0" ref="G506">
      <text>
        <t xml:space="preserve">Tasa efectiva del mes según la base ingresada.</t>
      </text>
    </comment>
    <comment authorId="0" ref="H506">
      <text>
        <t xml:space="preserve">Interés del período = capital inicial × tasa mensual, redondeado a dos decimales.</t>
      </text>
    </comment>
    <comment authorId="0" ref="I506">
      <text>
        <t xml:space="preserve">Capital e interés pactados. La última cuota ajusta el saldo por redondeo.</t>
      </text>
    </comment>
    <comment authorId="0" ref="J506">
      <text>
        <t xml:space="preserve">Capital amortizado TEÓRICO = cuota base − interés, limitado al saldo.</t>
      </text>
    </comment>
    <comment authorId="0" ref="K506">
      <text>
        <t xml:space="preserve">Seguro y otros cargos fijos del mes.</t>
      </text>
    </comment>
    <comment authorId="0" ref="L506">
      <text>
        <t xml:space="preserve">Cuota base + cargos.</t>
      </text>
    </comment>
    <comment authorId="0" ref="M506">
      <text>
        <t xml:space="preserve">Capital final del calendario teórico. No equivale al saldo real si hay pagos parciales o atrasos.</t>
      </text>
    </comment>
    <comment authorId="0" ref="N506">
      <text>
        <t xml:space="preserve">Suma de pagos válidos del mismo ID y cuota con fecha igual o anterior al corte.</t>
      </text>
    </comment>
    <comment authorId="0" ref="O506">
      <text>
        <t xml:space="preserve">MIN(amortización pactada; MAX(0; pagado − cargos − interés)). No imputa excedentes a otras cuotas.</t>
      </text>
    </comment>
    <comment authorId="0" ref="P506">
      <text>
        <t xml:space="preserve">MAX(0; total pactado − pagado a esta cuota). Incluye capital, interés y cargos pendientes de ESA cuota.</t>
      </text>
    </comment>
    <comment authorId="0" ref="Q506">
      <text>
        <t xml:space="preserve">Días desde vencimiento hasta corte, solo si venció antes del corte y sigue con saldo.</t>
      </text>
    </comment>
    <comment authorId="0" ref="R506">
      <text>
        <t xml:space="preserve">MAX(0; pagado − cuota pactada). Exceso para revisar: no se traspasa a otra cuota.</t>
      </text>
    </comment>
    <comment authorId="0" ref="S506">
      <text>
        <t xml:space="preserve">Pagada, Vencida, Vence hoy, Por vencer o Exceso sin imputar según fecha y saldo al corte.</t>
      </text>
    </comment>
    <comment authorId="0" ref="T506">
      <text>
        <t xml:space="preserve">Auxiliar para encontrar la primera cuota pendiente. El 999999 indica que esta cuota no tiene saldo pendiente o está fuera del plazo, y no es una fecha real.</t>
      </text>
    </comment>
    <comment authorId="0" ref="C507">
      <text>
        <t xml:space="preserve">Crédito al que corresponde esta cuota.</t>
      </text>
    </comment>
    <comment authorId="0" ref="D507">
      <text>
        <t xml:space="preserve">Número de cuota dentro del crédito.</t>
      </text>
    </comment>
    <comment authorId="0" ref="E507">
      <text>
        <t xml:space="preserve">Fecha según EDATE a partir del primer vencimiento. No ajusta automáticamente feriados.</t>
      </text>
    </comment>
    <comment authorId="0" ref="F507">
      <text>
        <t xml:space="preserve">Capital al inicio del período en el calendario ORIGINAL, sin recalcular por pagos reales.</t>
      </text>
    </comment>
    <comment authorId="0" ref="G507">
      <text>
        <t xml:space="preserve">Tasa efectiva del mes según la base ingresada.</t>
      </text>
    </comment>
    <comment authorId="0" ref="H507">
      <text>
        <t xml:space="preserve">Interés del período = capital inicial × tasa mensual, redondeado a dos decimales.</t>
      </text>
    </comment>
    <comment authorId="0" ref="I507">
      <text>
        <t xml:space="preserve">Capital e interés pactados. La última cuota ajusta el saldo por redondeo.</t>
      </text>
    </comment>
    <comment authorId="0" ref="J507">
      <text>
        <t xml:space="preserve">Capital amortizado TEÓRICO = cuota base − interés, limitado al saldo.</t>
      </text>
    </comment>
    <comment authorId="0" ref="K507">
      <text>
        <t xml:space="preserve">Seguro y otros cargos fijos del mes.</t>
      </text>
    </comment>
    <comment authorId="0" ref="L507">
      <text>
        <t xml:space="preserve">Cuota base + cargos.</t>
      </text>
    </comment>
    <comment authorId="0" ref="M507">
      <text>
        <t xml:space="preserve">Capital final del calendario teórico. No equivale al saldo real si hay pagos parciales o atrasos.</t>
      </text>
    </comment>
    <comment authorId="0" ref="N507">
      <text>
        <t xml:space="preserve">Suma de pagos válidos del mismo ID y cuota con fecha igual o anterior al corte.</t>
      </text>
    </comment>
    <comment authorId="0" ref="O507">
      <text>
        <t xml:space="preserve">MIN(amortización pactada; MAX(0; pagado − cargos − interés)). No imputa excedentes a otras cuotas.</t>
      </text>
    </comment>
    <comment authorId="0" ref="P507">
      <text>
        <t xml:space="preserve">MAX(0; total pactado − pagado a esta cuota). Incluye capital, interés y cargos pendientes de ESA cuota.</t>
      </text>
    </comment>
    <comment authorId="0" ref="Q507">
      <text>
        <t xml:space="preserve">Días desde vencimiento hasta corte, solo si venció antes del corte y sigue con saldo.</t>
      </text>
    </comment>
    <comment authorId="0" ref="R507">
      <text>
        <t xml:space="preserve">MAX(0; pagado − cuota pactada). Exceso para revisar: no se traspasa a otra cuota.</t>
      </text>
    </comment>
    <comment authorId="0" ref="S507">
      <text>
        <t xml:space="preserve">Pagada, Vencida, Vence hoy, Por vencer o Exceso sin imputar según fecha y saldo al corte.</t>
      </text>
    </comment>
    <comment authorId="0" ref="T507">
      <text>
        <t xml:space="preserve">Auxiliar para encontrar la primera cuota pendiente. El 999999 indica que esta cuota no tiene saldo pendiente o está fuera del plazo, y no es una fecha real.</t>
      </text>
    </comment>
    <comment authorId="0" ref="C508">
      <text>
        <t xml:space="preserve">Crédito al que corresponde esta cuota.</t>
      </text>
    </comment>
    <comment authorId="0" ref="D508">
      <text>
        <t xml:space="preserve">Número de cuota dentro del crédito.</t>
      </text>
    </comment>
    <comment authorId="0" ref="E508">
      <text>
        <t xml:space="preserve">Fecha según EDATE a partir del primer vencimiento. No ajusta automáticamente feriados.</t>
      </text>
    </comment>
    <comment authorId="0" ref="F508">
      <text>
        <t xml:space="preserve">Capital al inicio del período en el calendario ORIGINAL, sin recalcular por pagos reales.</t>
      </text>
    </comment>
    <comment authorId="0" ref="G508">
      <text>
        <t xml:space="preserve">Tasa efectiva del mes según la base ingresada.</t>
      </text>
    </comment>
    <comment authorId="0" ref="H508">
      <text>
        <t xml:space="preserve">Interés del período = capital inicial × tasa mensual, redondeado a dos decimales.</t>
      </text>
    </comment>
    <comment authorId="0" ref="I508">
      <text>
        <t xml:space="preserve">Capital e interés pactados. La última cuota ajusta el saldo por redondeo.</t>
      </text>
    </comment>
    <comment authorId="0" ref="J508">
      <text>
        <t xml:space="preserve">Capital amortizado TEÓRICO = cuota base − interés, limitado al saldo.</t>
      </text>
    </comment>
    <comment authorId="0" ref="K508">
      <text>
        <t xml:space="preserve">Seguro y otros cargos fijos del mes.</t>
      </text>
    </comment>
    <comment authorId="0" ref="L508">
      <text>
        <t xml:space="preserve">Cuota base + cargos.</t>
      </text>
    </comment>
    <comment authorId="0" ref="M508">
      <text>
        <t xml:space="preserve">Capital final del calendario teórico. No equivale al saldo real si hay pagos parciales o atrasos.</t>
      </text>
    </comment>
    <comment authorId="0" ref="N508">
      <text>
        <t xml:space="preserve">Suma de pagos válidos del mismo ID y cuota con fecha igual o anterior al corte.</t>
      </text>
    </comment>
    <comment authorId="0" ref="O508">
      <text>
        <t xml:space="preserve">MIN(amortización pactada; MAX(0; pagado − cargos − interés)). No imputa excedentes a otras cuotas.</t>
      </text>
    </comment>
    <comment authorId="0" ref="P508">
      <text>
        <t xml:space="preserve">MAX(0; total pactado − pagado a esta cuota). Incluye capital, interés y cargos pendientes de ESA cuota.</t>
      </text>
    </comment>
    <comment authorId="0" ref="Q508">
      <text>
        <t xml:space="preserve">Días desde vencimiento hasta corte, solo si venció antes del corte y sigue con saldo.</t>
      </text>
    </comment>
    <comment authorId="0" ref="R508">
      <text>
        <t xml:space="preserve">MAX(0; pagado − cuota pactada). Exceso para revisar: no se traspasa a otra cuota.</t>
      </text>
    </comment>
    <comment authorId="0" ref="S508">
      <text>
        <t xml:space="preserve">Pagada, Vencida, Vence hoy, Por vencer o Exceso sin imputar según fecha y saldo al corte.</t>
      </text>
    </comment>
    <comment authorId="0" ref="T508">
      <text>
        <t xml:space="preserve">Auxiliar para encontrar la primera cuota pendiente. El 999999 indica que esta cuota no tiene saldo pendiente o está fuera del plazo, y no es una fecha real.</t>
      </text>
    </comment>
    <comment authorId="0" ref="C509">
      <text>
        <t xml:space="preserve">Crédito al que corresponde esta cuota.</t>
      </text>
    </comment>
    <comment authorId="0" ref="D509">
      <text>
        <t xml:space="preserve">Número de cuota dentro del crédito.</t>
      </text>
    </comment>
    <comment authorId="0" ref="E509">
      <text>
        <t xml:space="preserve">Fecha según EDATE a partir del primer vencimiento. No ajusta automáticamente feriados.</t>
      </text>
    </comment>
    <comment authorId="0" ref="F509">
      <text>
        <t xml:space="preserve">Capital al inicio del período en el calendario ORIGINAL, sin recalcular por pagos reales.</t>
      </text>
    </comment>
    <comment authorId="0" ref="G509">
      <text>
        <t xml:space="preserve">Tasa efectiva del mes según la base ingresada.</t>
      </text>
    </comment>
    <comment authorId="0" ref="H509">
      <text>
        <t xml:space="preserve">Interés del período = capital inicial × tasa mensual, redondeado a dos decimales.</t>
      </text>
    </comment>
    <comment authorId="0" ref="I509">
      <text>
        <t xml:space="preserve">Capital e interés pactados. La última cuota ajusta el saldo por redondeo.</t>
      </text>
    </comment>
    <comment authorId="0" ref="J509">
      <text>
        <t xml:space="preserve">Capital amortizado TEÓRICO = cuota base − interés, limitado al saldo.</t>
      </text>
    </comment>
    <comment authorId="0" ref="K509">
      <text>
        <t xml:space="preserve">Seguro y otros cargos fijos del mes.</t>
      </text>
    </comment>
    <comment authorId="0" ref="L509">
      <text>
        <t xml:space="preserve">Cuota base + cargos.</t>
      </text>
    </comment>
    <comment authorId="0" ref="M509">
      <text>
        <t xml:space="preserve">Capital final del calendario teórico. No equivale al saldo real si hay pagos parciales o atrasos.</t>
      </text>
    </comment>
    <comment authorId="0" ref="N509">
      <text>
        <t xml:space="preserve">Suma de pagos válidos del mismo ID y cuota con fecha igual o anterior al corte.</t>
      </text>
    </comment>
    <comment authorId="0" ref="O509">
      <text>
        <t xml:space="preserve">MIN(amortización pactada; MAX(0; pagado − cargos − interés)). No imputa excedentes a otras cuotas.</t>
      </text>
    </comment>
    <comment authorId="0" ref="P509">
      <text>
        <t xml:space="preserve">MAX(0; total pactado − pagado a esta cuota). Incluye capital, interés y cargos pendientes de ESA cuota.</t>
      </text>
    </comment>
    <comment authorId="0" ref="Q509">
      <text>
        <t xml:space="preserve">Días desde vencimiento hasta corte, solo si venció antes del corte y sigue con saldo.</t>
      </text>
    </comment>
    <comment authorId="0" ref="R509">
      <text>
        <t xml:space="preserve">MAX(0; pagado − cuota pactada). Exceso para revisar: no se traspasa a otra cuota.</t>
      </text>
    </comment>
    <comment authorId="0" ref="S509">
      <text>
        <t xml:space="preserve">Pagada, Vencida, Vence hoy, Por vencer o Exceso sin imputar según fecha y saldo al corte.</t>
      </text>
    </comment>
    <comment authorId="0" ref="T509">
      <text>
        <t xml:space="preserve">Auxiliar para encontrar la primera cuota pendiente. El 999999 indica que esta cuota no tiene saldo pendiente o está fuera del plazo, y no es una fecha real.</t>
      </text>
    </comment>
    <comment authorId="0" ref="C510">
      <text>
        <t xml:space="preserve">Crédito al que corresponde esta cuota.</t>
      </text>
    </comment>
    <comment authorId="0" ref="D510">
      <text>
        <t xml:space="preserve">Número de cuota dentro del crédito.</t>
      </text>
    </comment>
    <comment authorId="0" ref="E510">
      <text>
        <t xml:space="preserve">Fecha según EDATE a partir del primer vencimiento. No ajusta automáticamente feriados.</t>
      </text>
    </comment>
    <comment authorId="0" ref="F510">
      <text>
        <t xml:space="preserve">Capital al inicio del período en el calendario ORIGINAL, sin recalcular por pagos reales.</t>
      </text>
    </comment>
    <comment authorId="0" ref="G510">
      <text>
        <t xml:space="preserve">Tasa efectiva del mes según la base ingresada.</t>
      </text>
    </comment>
    <comment authorId="0" ref="H510">
      <text>
        <t xml:space="preserve">Interés del período = capital inicial × tasa mensual, redondeado a dos decimales.</t>
      </text>
    </comment>
    <comment authorId="0" ref="I510">
      <text>
        <t xml:space="preserve">Capital e interés pactados. La última cuota ajusta el saldo por redondeo.</t>
      </text>
    </comment>
    <comment authorId="0" ref="J510">
      <text>
        <t xml:space="preserve">Capital amortizado TEÓRICO = cuota base − interés, limitado al saldo.</t>
      </text>
    </comment>
    <comment authorId="0" ref="K510">
      <text>
        <t xml:space="preserve">Seguro y otros cargos fijos del mes.</t>
      </text>
    </comment>
    <comment authorId="0" ref="L510">
      <text>
        <t xml:space="preserve">Cuota base + cargos.</t>
      </text>
    </comment>
    <comment authorId="0" ref="M510">
      <text>
        <t xml:space="preserve">Capital final del calendario teórico. No equivale al saldo real si hay pagos parciales o atrasos.</t>
      </text>
    </comment>
    <comment authorId="0" ref="N510">
      <text>
        <t xml:space="preserve">Suma de pagos válidos del mismo ID y cuota con fecha igual o anterior al corte.</t>
      </text>
    </comment>
    <comment authorId="0" ref="O510">
      <text>
        <t xml:space="preserve">MIN(amortización pactada; MAX(0; pagado − cargos − interés)). No imputa excedentes a otras cuotas.</t>
      </text>
    </comment>
    <comment authorId="0" ref="P510">
      <text>
        <t xml:space="preserve">MAX(0; total pactado − pagado a esta cuota). Incluye capital, interés y cargos pendientes de ESA cuota.</t>
      </text>
    </comment>
    <comment authorId="0" ref="Q510">
      <text>
        <t xml:space="preserve">Días desde vencimiento hasta corte, solo si venció antes del corte y sigue con saldo.</t>
      </text>
    </comment>
    <comment authorId="0" ref="R510">
      <text>
        <t xml:space="preserve">MAX(0; pagado − cuota pactada). Exceso para revisar: no se traspasa a otra cuota.</t>
      </text>
    </comment>
    <comment authorId="0" ref="S510">
      <text>
        <t xml:space="preserve">Pagada, Vencida, Vence hoy, Por vencer o Exceso sin imputar según fecha y saldo al corte.</t>
      </text>
    </comment>
    <comment authorId="0" ref="T510">
      <text>
        <t xml:space="preserve">Auxiliar para encontrar la primera cuota pendiente. El 999999 indica que esta cuota no tiene saldo pendiente o está fuera del plazo, y no es una fecha real.</t>
      </text>
    </comment>
    <comment authorId="0" ref="C511">
      <text>
        <t xml:space="preserve">Crédito al que corresponde esta cuota.</t>
      </text>
    </comment>
    <comment authorId="0" ref="D511">
      <text>
        <t xml:space="preserve">Número de cuota dentro del crédito.</t>
      </text>
    </comment>
    <comment authorId="0" ref="E511">
      <text>
        <t xml:space="preserve">Fecha según EDATE a partir del primer vencimiento. No ajusta automáticamente feriados.</t>
      </text>
    </comment>
    <comment authorId="0" ref="F511">
      <text>
        <t xml:space="preserve">Capital al inicio del período en el calendario ORIGINAL, sin recalcular por pagos reales.</t>
      </text>
    </comment>
    <comment authorId="0" ref="G511">
      <text>
        <t xml:space="preserve">Tasa efectiva del mes según la base ingresada.</t>
      </text>
    </comment>
    <comment authorId="0" ref="H511">
      <text>
        <t xml:space="preserve">Interés del período = capital inicial × tasa mensual, redondeado a dos decimales.</t>
      </text>
    </comment>
    <comment authorId="0" ref="I511">
      <text>
        <t xml:space="preserve">Capital e interés pactados. La última cuota ajusta el saldo por redondeo.</t>
      </text>
    </comment>
    <comment authorId="0" ref="J511">
      <text>
        <t xml:space="preserve">Capital amortizado TEÓRICO = cuota base − interés, limitado al saldo.</t>
      </text>
    </comment>
    <comment authorId="0" ref="K511">
      <text>
        <t xml:space="preserve">Seguro y otros cargos fijos del mes.</t>
      </text>
    </comment>
    <comment authorId="0" ref="L511">
      <text>
        <t xml:space="preserve">Cuota base + cargos.</t>
      </text>
    </comment>
    <comment authorId="0" ref="M511">
      <text>
        <t xml:space="preserve">Capital final del calendario teórico. No equivale al saldo real si hay pagos parciales o atrasos.</t>
      </text>
    </comment>
    <comment authorId="0" ref="N511">
      <text>
        <t xml:space="preserve">Suma de pagos válidos del mismo ID y cuota con fecha igual o anterior al corte.</t>
      </text>
    </comment>
    <comment authorId="0" ref="O511">
      <text>
        <t xml:space="preserve">MIN(amortización pactada; MAX(0; pagado − cargos − interés)). No imputa excedentes a otras cuotas.</t>
      </text>
    </comment>
    <comment authorId="0" ref="P511">
      <text>
        <t xml:space="preserve">MAX(0; total pactado − pagado a esta cuota). Incluye capital, interés y cargos pendientes de ESA cuota.</t>
      </text>
    </comment>
    <comment authorId="0" ref="Q511">
      <text>
        <t xml:space="preserve">Días desde vencimiento hasta corte, solo si venció antes del corte y sigue con saldo.</t>
      </text>
    </comment>
    <comment authorId="0" ref="R511">
      <text>
        <t xml:space="preserve">MAX(0; pagado − cuota pactada). Exceso para revisar: no se traspasa a otra cuota.</t>
      </text>
    </comment>
    <comment authorId="0" ref="S511">
      <text>
        <t xml:space="preserve">Pagada, Vencida, Vence hoy, Por vencer o Exceso sin imputar según fecha y saldo al corte.</t>
      </text>
    </comment>
    <comment authorId="0" ref="T511">
      <text>
        <t xml:space="preserve">Auxiliar para encontrar la primera cuota pendiente. El 999999 indica que esta cuota no tiene saldo pendiente o está fuera del plazo, y no es una fecha real.</t>
      </text>
    </comment>
    <comment authorId="0" ref="C512">
      <text>
        <t xml:space="preserve">Crédito al que corresponde esta cuota.</t>
      </text>
    </comment>
    <comment authorId="0" ref="D512">
      <text>
        <t xml:space="preserve">Número de cuota dentro del crédito.</t>
      </text>
    </comment>
    <comment authorId="0" ref="E512">
      <text>
        <t xml:space="preserve">Fecha según EDATE a partir del primer vencimiento. No ajusta automáticamente feriados.</t>
      </text>
    </comment>
    <comment authorId="0" ref="F512">
      <text>
        <t xml:space="preserve">Capital al inicio del período en el calendario ORIGINAL, sin recalcular por pagos reales.</t>
      </text>
    </comment>
    <comment authorId="0" ref="G512">
      <text>
        <t xml:space="preserve">Tasa efectiva del mes según la base ingresada.</t>
      </text>
    </comment>
    <comment authorId="0" ref="H512">
      <text>
        <t xml:space="preserve">Interés del período = capital inicial × tasa mensual, redondeado a dos decimales.</t>
      </text>
    </comment>
    <comment authorId="0" ref="I512">
      <text>
        <t xml:space="preserve">Capital e interés pactados. La última cuota ajusta el saldo por redondeo.</t>
      </text>
    </comment>
    <comment authorId="0" ref="J512">
      <text>
        <t xml:space="preserve">Capital amortizado TEÓRICO = cuota base − interés, limitado al saldo.</t>
      </text>
    </comment>
    <comment authorId="0" ref="K512">
      <text>
        <t xml:space="preserve">Seguro y otros cargos fijos del mes.</t>
      </text>
    </comment>
    <comment authorId="0" ref="L512">
      <text>
        <t xml:space="preserve">Cuota base + cargos.</t>
      </text>
    </comment>
    <comment authorId="0" ref="M512">
      <text>
        <t xml:space="preserve">Capital final del calendario teórico. No equivale al saldo real si hay pagos parciales o atrasos.</t>
      </text>
    </comment>
    <comment authorId="0" ref="N512">
      <text>
        <t xml:space="preserve">Suma de pagos válidos del mismo ID y cuota con fecha igual o anterior al corte.</t>
      </text>
    </comment>
    <comment authorId="0" ref="O512">
      <text>
        <t xml:space="preserve">MIN(amortización pactada; MAX(0; pagado − cargos − interés)). No imputa excedentes a otras cuotas.</t>
      </text>
    </comment>
    <comment authorId="0" ref="P512">
      <text>
        <t xml:space="preserve">MAX(0; total pactado − pagado a esta cuota). Incluye capital, interés y cargos pendientes de ESA cuota.</t>
      </text>
    </comment>
    <comment authorId="0" ref="Q512">
      <text>
        <t xml:space="preserve">Días desde vencimiento hasta corte, solo si venció antes del corte y sigue con saldo.</t>
      </text>
    </comment>
    <comment authorId="0" ref="R512">
      <text>
        <t xml:space="preserve">MAX(0; pagado − cuota pactada). Exceso para revisar: no se traspasa a otra cuota.</t>
      </text>
    </comment>
    <comment authorId="0" ref="S512">
      <text>
        <t xml:space="preserve">Pagada, Vencida, Vence hoy, Por vencer o Exceso sin imputar según fecha y saldo al corte.</t>
      </text>
    </comment>
    <comment authorId="0" ref="T512">
      <text>
        <t xml:space="preserve">Auxiliar para encontrar la primera cuota pendiente. El 999999 indica que esta cuota no tiene saldo pendiente o está fuera del plazo, y no es una fecha real.</t>
      </text>
    </comment>
    <comment authorId="0" ref="C513">
      <text>
        <t xml:space="preserve">Crédito al que corresponde esta cuota.</t>
      </text>
    </comment>
    <comment authorId="0" ref="D513">
      <text>
        <t xml:space="preserve">Número de cuota dentro del crédito.</t>
      </text>
    </comment>
    <comment authorId="0" ref="E513">
      <text>
        <t xml:space="preserve">Fecha según EDATE a partir del primer vencimiento. No ajusta automáticamente feriados.</t>
      </text>
    </comment>
    <comment authorId="0" ref="F513">
      <text>
        <t xml:space="preserve">Capital al inicio del período en el calendario ORIGINAL, sin recalcular por pagos reales.</t>
      </text>
    </comment>
    <comment authorId="0" ref="G513">
      <text>
        <t xml:space="preserve">Tasa efectiva del mes según la base ingresada.</t>
      </text>
    </comment>
    <comment authorId="0" ref="H513">
      <text>
        <t xml:space="preserve">Interés del período = capital inicial × tasa mensual, redondeado a dos decimales.</t>
      </text>
    </comment>
    <comment authorId="0" ref="I513">
      <text>
        <t xml:space="preserve">Capital e interés pactados. La última cuota ajusta el saldo por redondeo.</t>
      </text>
    </comment>
    <comment authorId="0" ref="J513">
      <text>
        <t xml:space="preserve">Capital amortizado TEÓRICO = cuota base − interés, limitado al saldo.</t>
      </text>
    </comment>
    <comment authorId="0" ref="K513">
      <text>
        <t xml:space="preserve">Seguro y otros cargos fijos del mes.</t>
      </text>
    </comment>
    <comment authorId="0" ref="L513">
      <text>
        <t xml:space="preserve">Cuota base + cargos.</t>
      </text>
    </comment>
    <comment authorId="0" ref="M513">
      <text>
        <t xml:space="preserve">Capital final del calendario teórico. No equivale al saldo real si hay pagos parciales o atrasos.</t>
      </text>
    </comment>
    <comment authorId="0" ref="N513">
      <text>
        <t xml:space="preserve">Suma de pagos válidos del mismo ID y cuota con fecha igual o anterior al corte.</t>
      </text>
    </comment>
    <comment authorId="0" ref="O513">
      <text>
        <t xml:space="preserve">MIN(amortización pactada; MAX(0; pagado − cargos − interés)). No imputa excedentes a otras cuotas.</t>
      </text>
    </comment>
    <comment authorId="0" ref="P513">
      <text>
        <t xml:space="preserve">MAX(0; total pactado − pagado a esta cuota). Incluye capital, interés y cargos pendientes de ESA cuota.</t>
      </text>
    </comment>
    <comment authorId="0" ref="Q513">
      <text>
        <t xml:space="preserve">Días desde vencimiento hasta corte, solo si venció antes del corte y sigue con saldo.</t>
      </text>
    </comment>
    <comment authorId="0" ref="R513">
      <text>
        <t xml:space="preserve">MAX(0; pagado − cuota pactada). Exceso para revisar: no se traspasa a otra cuota.</t>
      </text>
    </comment>
    <comment authorId="0" ref="S513">
      <text>
        <t xml:space="preserve">Pagada, Vencida, Vence hoy, Por vencer o Exceso sin imputar según fecha y saldo al corte.</t>
      </text>
    </comment>
    <comment authorId="0" ref="T513">
      <text>
        <t xml:space="preserve">Auxiliar para encontrar la primera cuota pendiente. El 999999 indica que esta cuota no tiene saldo pendiente o está fuera del plazo, y no es una fecha real.</t>
      </text>
    </comment>
    <comment authorId="0" ref="C514">
      <text>
        <t xml:space="preserve">Crédito al que corresponde esta cuota.</t>
      </text>
    </comment>
    <comment authorId="0" ref="D514">
      <text>
        <t xml:space="preserve">Número de cuota dentro del crédito.</t>
      </text>
    </comment>
    <comment authorId="0" ref="E514">
      <text>
        <t xml:space="preserve">Fecha según EDATE a partir del primer vencimiento. No ajusta automáticamente feriados.</t>
      </text>
    </comment>
    <comment authorId="0" ref="F514">
      <text>
        <t xml:space="preserve">Capital al inicio del período en el calendario ORIGINAL, sin recalcular por pagos reales.</t>
      </text>
    </comment>
    <comment authorId="0" ref="G514">
      <text>
        <t xml:space="preserve">Tasa efectiva del mes según la base ingresada.</t>
      </text>
    </comment>
    <comment authorId="0" ref="H514">
      <text>
        <t xml:space="preserve">Interés del período = capital inicial × tasa mensual, redondeado a dos decimales.</t>
      </text>
    </comment>
    <comment authorId="0" ref="I514">
      <text>
        <t xml:space="preserve">Capital e interés pactados. La última cuota ajusta el saldo por redondeo.</t>
      </text>
    </comment>
    <comment authorId="0" ref="J514">
      <text>
        <t xml:space="preserve">Capital amortizado TEÓRICO = cuota base − interés, limitado al saldo.</t>
      </text>
    </comment>
    <comment authorId="0" ref="K514">
      <text>
        <t xml:space="preserve">Seguro y otros cargos fijos del mes.</t>
      </text>
    </comment>
    <comment authorId="0" ref="L514">
      <text>
        <t xml:space="preserve">Cuota base + cargos.</t>
      </text>
    </comment>
    <comment authorId="0" ref="M514">
      <text>
        <t xml:space="preserve">Capital final del calendario teórico. No equivale al saldo real si hay pagos parciales o atrasos.</t>
      </text>
    </comment>
    <comment authorId="0" ref="N514">
      <text>
        <t xml:space="preserve">Suma de pagos válidos del mismo ID y cuota con fecha igual o anterior al corte.</t>
      </text>
    </comment>
    <comment authorId="0" ref="O514">
      <text>
        <t xml:space="preserve">MIN(amortización pactada; MAX(0; pagado − cargos − interés)). No imputa excedentes a otras cuotas.</t>
      </text>
    </comment>
    <comment authorId="0" ref="P514">
      <text>
        <t xml:space="preserve">MAX(0; total pactado − pagado a esta cuota). Incluye capital, interés y cargos pendientes de ESA cuota.</t>
      </text>
    </comment>
    <comment authorId="0" ref="Q514">
      <text>
        <t xml:space="preserve">Días desde vencimiento hasta corte, solo si venció antes del corte y sigue con saldo.</t>
      </text>
    </comment>
    <comment authorId="0" ref="R514">
      <text>
        <t xml:space="preserve">MAX(0; pagado − cuota pactada). Exceso para revisar: no se traspasa a otra cuota.</t>
      </text>
    </comment>
    <comment authorId="0" ref="S514">
      <text>
        <t xml:space="preserve">Pagada, Vencida, Vence hoy, Por vencer o Exceso sin imputar según fecha y saldo al corte.</t>
      </text>
    </comment>
    <comment authorId="0" ref="T514">
      <text>
        <t xml:space="preserve">Auxiliar para encontrar la primera cuota pendiente. El 999999 indica que esta cuota no tiene saldo pendiente o está fuera del plazo, y no es una fecha real.</t>
      </text>
    </comment>
    <comment authorId="0" ref="C515">
      <text>
        <t xml:space="preserve">Crédito al que corresponde esta cuota.</t>
      </text>
    </comment>
    <comment authorId="0" ref="D515">
      <text>
        <t xml:space="preserve">Número de cuota dentro del crédito.</t>
      </text>
    </comment>
    <comment authorId="0" ref="E515">
      <text>
        <t xml:space="preserve">Fecha según EDATE a partir del primer vencimiento. No ajusta automáticamente feriados.</t>
      </text>
    </comment>
    <comment authorId="0" ref="F515">
      <text>
        <t xml:space="preserve">Capital al inicio del período en el calendario ORIGINAL, sin recalcular por pagos reales.</t>
      </text>
    </comment>
    <comment authorId="0" ref="G515">
      <text>
        <t xml:space="preserve">Tasa efectiva del mes según la base ingresada.</t>
      </text>
    </comment>
    <comment authorId="0" ref="H515">
      <text>
        <t xml:space="preserve">Interés del período = capital inicial × tasa mensual, redondeado a dos decimales.</t>
      </text>
    </comment>
    <comment authorId="0" ref="I515">
      <text>
        <t xml:space="preserve">Capital e interés pactados. La última cuota ajusta el saldo por redondeo.</t>
      </text>
    </comment>
    <comment authorId="0" ref="J515">
      <text>
        <t xml:space="preserve">Capital amortizado TEÓRICO = cuota base − interés, limitado al saldo.</t>
      </text>
    </comment>
    <comment authorId="0" ref="K515">
      <text>
        <t xml:space="preserve">Seguro y otros cargos fijos del mes.</t>
      </text>
    </comment>
    <comment authorId="0" ref="L515">
      <text>
        <t xml:space="preserve">Cuota base + cargos.</t>
      </text>
    </comment>
    <comment authorId="0" ref="M515">
      <text>
        <t xml:space="preserve">Capital final del calendario teórico. No equivale al saldo real si hay pagos parciales o atrasos.</t>
      </text>
    </comment>
    <comment authorId="0" ref="N515">
      <text>
        <t xml:space="preserve">Suma de pagos válidos del mismo ID y cuota con fecha igual o anterior al corte.</t>
      </text>
    </comment>
    <comment authorId="0" ref="O515">
      <text>
        <t xml:space="preserve">MIN(amortización pactada; MAX(0; pagado − cargos − interés)). No imputa excedentes a otras cuotas.</t>
      </text>
    </comment>
    <comment authorId="0" ref="P515">
      <text>
        <t xml:space="preserve">MAX(0; total pactado − pagado a esta cuota). Incluye capital, interés y cargos pendientes de ESA cuota.</t>
      </text>
    </comment>
    <comment authorId="0" ref="Q515">
      <text>
        <t xml:space="preserve">Días desde vencimiento hasta corte, solo si venció antes del corte y sigue con saldo.</t>
      </text>
    </comment>
    <comment authorId="0" ref="R515">
      <text>
        <t xml:space="preserve">MAX(0; pagado − cuota pactada). Exceso para revisar: no se traspasa a otra cuota.</t>
      </text>
    </comment>
    <comment authorId="0" ref="S515">
      <text>
        <t xml:space="preserve">Pagada, Vencida, Vence hoy, Por vencer o Exceso sin imputar según fecha y saldo al corte.</t>
      </text>
    </comment>
    <comment authorId="0" ref="T515">
      <text>
        <t xml:space="preserve">Auxiliar para encontrar la primera cuota pendiente. El 999999 indica que esta cuota no tiene saldo pendiente o está fuera del plazo, y no es una fecha real.</t>
      </text>
    </comment>
    <comment authorId="0" ref="C516">
      <text>
        <t xml:space="preserve">Crédito al que corresponde esta cuota.</t>
      </text>
    </comment>
    <comment authorId="0" ref="D516">
      <text>
        <t xml:space="preserve">Número de cuota dentro del crédito.</t>
      </text>
    </comment>
    <comment authorId="0" ref="E516">
      <text>
        <t xml:space="preserve">Fecha según EDATE a partir del primer vencimiento. No ajusta automáticamente feriados.</t>
      </text>
    </comment>
    <comment authorId="0" ref="F516">
      <text>
        <t xml:space="preserve">Capital al inicio del período en el calendario ORIGINAL, sin recalcular por pagos reales.</t>
      </text>
    </comment>
    <comment authorId="0" ref="G516">
      <text>
        <t xml:space="preserve">Tasa efectiva del mes según la base ingresada.</t>
      </text>
    </comment>
    <comment authorId="0" ref="H516">
      <text>
        <t xml:space="preserve">Interés del período = capital inicial × tasa mensual, redondeado a dos decimales.</t>
      </text>
    </comment>
    <comment authorId="0" ref="I516">
      <text>
        <t xml:space="preserve">Capital e interés pactados. La última cuota ajusta el saldo por redondeo.</t>
      </text>
    </comment>
    <comment authorId="0" ref="J516">
      <text>
        <t xml:space="preserve">Capital amortizado TEÓRICO = cuota base − interés, limitado al saldo.</t>
      </text>
    </comment>
    <comment authorId="0" ref="K516">
      <text>
        <t xml:space="preserve">Seguro y otros cargos fijos del mes.</t>
      </text>
    </comment>
    <comment authorId="0" ref="L516">
      <text>
        <t xml:space="preserve">Cuota base + cargos.</t>
      </text>
    </comment>
    <comment authorId="0" ref="M516">
      <text>
        <t xml:space="preserve">Capital final del calendario teórico. No equivale al saldo real si hay pagos parciales o atrasos.</t>
      </text>
    </comment>
    <comment authorId="0" ref="N516">
      <text>
        <t xml:space="preserve">Suma de pagos válidos del mismo ID y cuota con fecha igual o anterior al corte.</t>
      </text>
    </comment>
    <comment authorId="0" ref="O516">
      <text>
        <t xml:space="preserve">MIN(amortización pactada; MAX(0; pagado − cargos − interés)). No imputa excedentes a otras cuotas.</t>
      </text>
    </comment>
    <comment authorId="0" ref="P516">
      <text>
        <t xml:space="preserve">MAX(0; total pactado − pagado a esta cuota). Incluye capital, interés y cargos pendientes de ESA cuota.</t>
      </text>
    </comment>
    <comment authorId="0" ref="Q516">
      <text>
        <t xml:space="preserve">Días desde vencimiento hasta corte, solo si venció antes del corte y sigue con saldo.</t>
      </text>
    </comment>
    <comment authorId="0" ref="R516">
      <text>
        <t xml:space="preserve">MAX(0; pagado − cuota pactada). Exceso para revisar: no se traspasa a otra cuota.</t>
      </text>
    </comment>
    <comment authorId="0" ref="S516">
      <text>
        <t xml:space="preserve">Pagada, Vencida, Vence hoy, Por vencer o Exceso sin imputar según fecha y saldo al corte.</t>
      </text>
    </comment>
    <comment authorId="0" ref="T516">
      <text>
        <t xml:space="preserve">Auxiliar para encontrar la primera cuota pendiente. El 999999 indica que esta cuota no tiene saldo pendiente o está fuera del plazo, y no es una fecha real.</t>
      </text>
    </comment>
    <comment authorId="0" ref="C517">
      <text>
        <t xml:space="preserve">Crédito al que corresponde esta cuota.</t>
      </text>
    </comment>
    <comment authorId="0" ref="D517">
      <text>
        <t xml:space="preserve">Número de cuota dentro del crédito.</t>
      </text>
    </comment>
    <comment authorId="0" ref="E517">
      <text>
        <t xml:space="preserve">Fecha según EDATE a partir del primer vencimiento. No ajusta automáticamente feriados.</t>
      </text>
    </comment>
    <comment authorId="0" ref="F517">
      <text>
        <t xml:space="preserve">Capital al inicio del período en el calendario ORIGINAL, sin recalcular por pagos reales.</t>
      </text>
    </comment>
    <comment authorId="0" ref="G517">
      <text>
        <t xml:space="preserve">Tasa efectiva del mes según la base ingresada.</t>
      </text>
    </comment>
    <comment authorId="0" ref="H517">
      <text>
        <t xml:space="preserve">Interés del período = capital inicial × tasa mensual, redondeado a dos decimales.</t>
      </text>
    </comment>
    <comment authorId="0" ref="I517">
      <text>
        <t xml:space="preserve">Capital e interés pactados. La última cuota ajusta el saldo por redondeo.</t>
      </text>
    </comment>
    <comment authorId="0" ref="J517">
      <text>
        <t xml:space="preserve">Capital amortizado TEÓRICO = cuota base − interés, limitado al saldo.</t>
      </text>
    </comment>
    <comment authorId="0" ref="K517">
      <text>
        <t xml:space="preserve">Seguro y otros cargos fijos del mes.</t>
      </text>
    </comment>
    <comment authorId="0" ref="L517">
      <text>
        <t xml:space="preserve">Cuota base + cargos.</t>
      </text>
    </comment>
    <comment authorId="0" ref="M517">
      <text>
        <t xml:space="preserve">Capital final del calendario teórico. No equivale al saldo real si hay pagos parciales o atrasos.</t>
      </text>
    </comment>
    <comment authorId="0" ref="N517">
      <text>
        <t xml:space="preserve">Suma de pagos válidos del mismo ID y cuota con fecha igual o anterior al corte.</t>
      </text>
    </comment>
    <comment authorId="0" ref="O517">
      <text>
        <t xml:space="preserve">MIN(amortización pactada; MAX(0; pagado − cargos − interés)). No imputa excedentes a otras cuotas.</t>
      </text>
    </comment>
    <comment authorId="0" ref="P517">
      <text>
        <t xml:space="preserve">MAX(0; total pactado − pagado a esta cuota). Incluye capital, interés y cargos pendientes de ESA cuota.</t>
      </text>
    </comment>
    <comment authorId="0" ref="Q517">
      <text>
        <t xml:space="preserve">Días desde vencimiento hasta corte, solo si venció antes del corte y sigue con saldo.</t>
      </text>
    </comment>
    <comment authorId="0" ref="R517">
      <text>
        <t xml:space="preserve">MAX(0; pagado − cuota pactada). Exceso para revisar: no se traspasa a otra cuota.</t>
      </text>
    </comment>
    <comment authorId="0" ref="S517">
      <text>
        <t xml:space="preserve">Pagada, Vencida, Vence hoy, Por vencer o Exceso sin imputar según fecha y saldo al corte.</t>
      </text>
    </comment>
    <comment authorId="0" ref="T517">
      <text>
        <t xml:space="preserve">Auxiliar para encontrar la primera cuota pendiente. El 999999 indica que esta cuota no tiene saldo pendiente o está fuera del plazo, y no es una fecha real.</t>
      </text>
    </comment>
    <comment authorId="0" ref="C518">
      <text>
        <t xml:space="preserve">Crédito al que corresponde esta cuota.</t>
      </text>
    </comment>
    <comment authorId="0" ref="D518">
      <text>
        <t xml:space="preserve">Número de cuota dentro del crédito.</t>
      </text>
    </comment>
    <comment authorId="0" ref="E518">
      <text>
        <t xml:space="preserve">Fecha según EDATE a partir del primer vencimiento. No ajusta automáticamente feriados.</t>
      </text>
    </comment>
    <comment authorId="0" ref="F518">
      <text>
        <t xml:space="preserve">Capital al inicio del período en el calendario ORIGINAL, sin recalcular por pagos reales.</t>
      </text>
    </comment>
    <comment authorId="0" ref="G518">
      <text>
        <t xml:space="preserve">Tasa efectiva del mes según la base ingresada.</t>
      </text>
    </comment>
    <comment authorId="0" ref="H518">
      <text>
        <t xml:space="preserve">Interés del período = capital inicial × tasa mensual, redondeado a dos decimales.</t>
      </text>
    </comment>
    <comment authorId="0" ref="I518">
      <text>
        <t xml:space="preserve">Capital e interés pactados. La última cuota ajusta el saldo por redondeo.</t>
      </text>
    </comment>
    <comment authorId="0" ref="J518">
      <text>
        <t xml:space="preserve">Capital amortizado TEÓRICO = cuota base − interés, limitado al saldo.</t>
      </text>
    </comment>
    <comment authorId="0" ref="K518">
      <text>
        <t xml:space="preserve">Seguro y otros cargos fijos del mes.</t>
      </text>
    </comment>
    <comment authorId="0" ref="L518">
      <text>
        <t xml:space="preserve">Cuota base + cargos.</t>
      </text>
    </comment>
    <comment authorId="0" ref="M518">
      <text>
        <t xml:space="preserve">Capital final del calendario teórico. No equivale al saldo real si hay pagos parciales o atrasos.</t>
      </text>
    </comment>
    <comment authorId="0" ref="N518">
      <text>
        <t xml:space="preserve">Suma de pagos válidos del mismo ID y cuota con fecha igual o anterior al corte.</t>
      </text>
    </comment>
    <comment authorId="0" ref="O518">
      <text>
        <t xml:space="preserve">MIN(amortización pactada; MAX(0; pagado − cargos − interés)). No imputa excedentes a otras cuotas.</t>
      </text>
    </comment>
    <comment authorId="0" ref="P518">
      <text>
        <t xml:space="preserve">MAX(0; total pactado − pagado a esta cuota). Incluye capital, interés y cargos pendientes de ESA cuota.</t>
      </text>
    </comment>
    <comment authorId="0" ref="Q518">
      <text>
        <t xml:space="preserve">Días desde vencimiento hasta corte, solo si venció antes del corte y sigue con saldo.</t>
      </text>
    </comment>
    <comment authorId="0" ref="R518">
      <text>
        <t xml:space="preserve">MAX(0; pagado − cuota pactada). Exceso para revisar: no se traspasa a otra cuota.</t>
      </text>
    </comment>
    <comment authorId="0" ref="S518">
      <text>
        <t xml:space="preserve">Pagada, Vencida, Vence hoy, Por vencer o Exceso sin imputar según fecha y saldo al corte.</t>
      </text>
    </comment>
    <comment authorId="0" ref="T518">
      <text>
        <t xml:space="preserve">Auxiliar para encontrar la primera cuota pendiente. El 999999 indica que esta cuota no tiene saldo pendiente o está fuera del plazo, y no es una fecha real.</t>
      </text>
    </comment>
    <comment authorId="0" ref="C519">
      <text>
        <t xml:space="preserve">Crédito al que corresponde esta cuota.</t>
      </text>
    </comment>
    <comment authorId="0" ref="D519">
      <text>
        <t xml:space="preserve">Número de cuota dentro del crédito.</t>
      </text>
    </comment>
    <comment authorId="0" ref="E519">
      <text>
        <t xml:space="preserve">Fecha según EDATE a partir del primer vencimiento. No ajusta automáticamente feriados.</t>
      </text>
    </comment>
    <comment authorId="0" ref="F519">
      <text>
        <t xml:space="preserve">Capital al inicio del período en el calendario ORIGINAL, sin recalcular por pagos reales.</t>
      </text>
    </comment>
    <comment authorId="0" ref="G519">
      <text>
        <t xml:space="preserve">Tasa efectiva del mes según la base ingresada.</t>
      </text>
    </comment>
    <comment authorId="0" ref="H519">
      <text>
        <t xml:space="preserve">Interés del período = capital inicial × tasa mensual, redondeado a dos decimales.</t>
      </text>
    </comment>
    <comment authorId="0" ref="I519">
      <text>
        <t xml:space="preserve">Capital e interés pactados. La última cuota ajusta el saldo por redondeo.</t>
      </text>
    </comment>
    <comment authorId="0" ref="J519">
      <text>
        <t xml:space="preserve">Capital amortizado TEÓRICO = cuota base − interés, limitado al saldo.</t>
      </text>
    </comment>
    <comment authorId="0" ref="K519">
      <text>
        <t xml:space="preserve">Seguro y otros cargos fijos del mes.</t>
      </text>
    </comment>
    <comment authorId="0" ref="L519">
      <text>
        <t xml:space="preserve">Cuota base + cargos.</t>
      </text>
    </comment>
    <comment authorId="0" ref="M519">
      <text>
        <t xml:space="preserve">Capital final del calendario teórico. No equivale al saldo real si hay pagos parciales o atrasos.</t>
      </text>
    </comment>
    <comment authorId="0" ref="N519">
      <text>
        <t xml:space="preserve">Suma de pagos válidos del mismo ID y cuota con fecha igual o anterior al corte.</t>
      </text>
    </comment>
    <comment authorId="0" ref="O519">
      <text>
        <t xml:space="preserve">MIN(amortización pactada; MAX(0; pagado − cargos − interés)). No imputa excedentes a otras cuotas.</t>
      </text>
    </comment>
    <comment authorId="0" ref="P519">
      <text>
        <t xml:space="preserve">MAX(0; total pactado − pagado a esta cuota). Incluye capital, interés y cargos pendientes de ESA cuota.</t>
      </text>
    </comment>
    <comment authorId="0" ref="Q519">
      <text>
        <t xml:space="preserve">Días desde vencimiento hasta corte, solo si venció antes del corte y sigue con saldo.</t>
      </text>
    </comment>
    <comment authorId="0" ref="R519">
      <text>
        <t xml:space="preserve">MAX(0; pagado − cuota pactada). Exceso para revisar: no se traspasa a otra cuota.</t>
      </text>
    </comment>
    <comment authorId="0" ref="S519">
      <text>
        <t xml:space="preserve">Pagada, Vencida, Vence hoy, Por vencer o Exceso sin imputar según fecha y saldo al corte.</t>
      </text>
    </comment>
    <comment authorId="0" ref="T519">
      <text>
        <t xml:space="preserve">Auxiliar para encontrar la primera cuota pendiente. El 999999 indica que esta cuota no tiene saldo pendiente o está fuera del plazo, y no es una fecha real.</t>
      </text>
    </comment>
    <comment authorId="0" ref="C520">
      <text>
        <t xml:space="preserve">Crédito al que corresponde esta cuota.</t>
      </text>
    </comment>
    <comment authorId="0" ref="D520">
      <text>
        <t xml:space="preserve">Número de cuota dentro del crédito.</t>
      </text>
    </comment>
    <comment authorId="0" ref="E520">
      <text>
        <t xml:space="preserve">Fecha según EDATE a partir del primer vencimiento. No ajusta automáticamente feriados.</t>
      </text>
    </comment>
    <comment authorId="0" ref="F520">
      <text>
        <t xml:space="preserve">Capital al inicio del período en el calendario ORIGINAL, sin recalcular por pagos reales.</t>
      </text>
    </comment>
    <comment authorId="0" ref="G520">
      <text>
        <t xml:space="preserve">Tasa efectiva del mes según la base ingresada.</t>
      </text>
    </comment>
    <comment authorId="0" ref="H520">
      <text>
        <t xml:space="preserve">Interés del período = capital inicial × tasa mensual, redondeado a dos decimales.</t>
      </text>
    </comment>
    <comment authorId="0" ref="I520">
      <text>
        <t xml:space="preserve">Capital e interés pactados. La última cuota ajusta el saldo por redondeo.</t>
      </text>
    </comment>
    <comment authorId="0" ref="J520">
      <text>
        <t xml:space="preserve">Capital amortizado TEÓRICO = cuota base − interés, limitado al saldo.</t>
      </text>
    </comment>
    <comment authorId="0" ref="K520">
      <text>
        <t xml:space="preserve">Seguro y otros cargos fijos del mes.</t>
      </text>
    </comment>
    <comment authorId="0" ref="L520">
      <text>
        <t xml:space="preserve">Cuota base + cargos.</t>
      </text>
    </comment>
    <comment authorId="0" ref="M520">
      <text>
        <t xml:space="preserve">Capital final del calendario teórico. No equivale al saldo real si hay pagos parciales o atrasos.</t>
      </text>
    </comment>
    <comment authorId="0" ref="N520">
      <text>
        <t xml:space="preserve">Suma de pagos válidos del mismo ID y cuota con fecha igual o anterior al corte.</t>
      </text>
    </comment>
    <comment authorId="0" ref="O520">
      <text>
        <t xml:space="preserve">MIN(amortización pactada; MAX(0; pagado − cargos − interés)). No imputa excedentes a otras cuotas.</t>
      </text>
    </comment>
    <comment authorId="0" ref="P520">
      <text>
        <t xml:space="preserve">MAX(0; total pactado − pagado a esta cuota). Incluye capital, interés y cargos pendientes de ESA cuota.</t>
      </text>
    </comment>
    <comment authorId="0" ref="Q520">
      <text>
        <t xml:space="preserve">Días desde vencimiento hasta corte, solo si venció antes del corte y sigue con saldo.</t>
      </text>
    </comment>
    <comment authorId="0" ref="R520">
      <text>
        <t xml:space="preserve">MAX(0; pagado − cuota pactada). Exceso para revisar: no se traspasa a otra cuota.</t>
      </text>
    </comment>
    <comment authorId="0" ref="S520">
      <text>
        <t xml:space="preserve">Pagada, Vencida, Vence hoy, Por vencer o Exceso sin imputar según fecha y saldo al corte.</t>
      </text>
    </comment>
    <comment authorId="0" ref="T520">
      <text>
        <t xml:space="preserve">Auxiliar para encontrar la primera cuota pendiente. El 999999 indica que esta cuota no tiene saldo pendiente o está fuera del plazo, y no es una fecha real.</t>
      </text>
    </comment>
    <comment authorId="0" ref="C521">
      <text>
        <t xml:space="preserve">Crédito al que corresponde esta cuota.</t>
      </text>
    </comment>
    <comment authorId="0" ref="D521">
      <text>
        <t xml:space="preserve">Número de cuota dentro del crédito.</t>
      </text>
    </comment>
    <comment authorId="0" ref="E521">
      <text>
        <t xml:space="preserve">Fecha según EDATE a partir del primer vencimiento. No ajusta automáticamente feriados.</t>
      </text>
    </comment>
    <comment authorId="0" ref="F521">
      <text>
        <t xml:space="preserve">Capital al inicio del período en el calendario ORIGINAL, sin recalcular por pagos reales.</t>
      </text>
    </comment>
    <comment authorId="0" ref="G521">
      <text>
        <t xml:space="preserve">Tasa efectiva del mes según la base ingresada.</t>
      </text>
    </comment>
    <comment authorId="0" ref="H521">
      <text>
        <t xml:space="preserve">Interés del período = capital inicial × tasa mensual, redondeado a dos decimales.</t>
      </text>
    </comment>
    <comment authorId="0" ref="I521">
      <text>
        <t xml:space="preserve">Capital e interés pactados. La última cuota ajusta el saldo por redondeo.</t>
      </text>
    </comment>
    <comment authorId="0" ref="J521">
      <text>
        <t xml:space="preserve">Capital amortizado TEÓRICO = cuota base − interés, limitado al saldo.</t>
      </text>
    </comment>
    <comment authorId="0" ref="K521">
      <text>
        <t xml:space="preserve">Seguro y otros cargos fijos del mes.</t>
      </text>
    </comment>
    <comment authorId="0" ref="L521">
      <text>
        <t xml:space="preserve">Cuota base + cargos.</t>
      </text>
    </comment>
    <comment authorId="0" ref="M521">
      <text>
        <t xml:space="preserve">Capital final del calendario teórico. No equivale al saldo real si hay pagos parciales o atrasos.</t>
      </text>
    </comment>
    <comment authorId="0" ref="N521">
      <text>
        <t xml:space="preserve">Suma de pagos válidos del mismo ID y cuota con fecha igual o anterior al corte.</t>
      </text>
    </comment>
    <comment authorId="0" ref="O521">
      <text>
        <t xml:space="preserve">MIN(amortización pactada; MAX(0; pagado − cargos − interés)). No imputa excedentes a otras cuotas.</t>
      </text>
    </comment>
    <comment authorId="0" ref="P521">
      <text>
        <t xml:space="preserve">MAX(0; total pactado − pagado a esta cuota). Incluye capital, interés y cargos pendientes de ESA cuota.</t>
      </text>
    </comment>
    <comment authorId="0" ref="Q521">
      <text>
        <t xml:space="preserve">Días desde vencimiento hasta corte, solo si venció antes del corte y sigue con saldo.</t>
      </text>
    </comment>
    <comment authorId="0" ref="R521">
      <text>
        <t xml:space="preserve">MAX(0; pagado − cuota pactada). Exceso para revisar: no se traspasa a otra cuota.</t>
      </text>
    </comment>
    <comment authorId="0" ref="S521">
      <text>
        <t xml:space="preserve">Pagada, Vencida, Vence hoy, Por vencer o Exceso sin imputar según fecha y saldo al corte.</t>
      </text>
    </comment>
    <comment authorId="0" ref="T521">
      <text>
        <t xml:space="preserve">Auxiliar para encontrar la primera cuota pendiente. El 999999 indica que esta cuota no tiene saldo pendiente o está fuera del plazo, y no es una fecha real.</t>
      </text>
    </comment>
    <comment authorId="0" ref="C522">
      <text>
        <t xml:space="preserve">Crédito al que corresponde esta cuota.</t>
      </text>
    </comment>
    <comment authorId="0" ref="D522">
      <text>
        <t xml:space="preserve">Número de cuota dentro del crédito.</t>
      </text>
    </comment>
    <comment authorId="0" ref="E522">
      <text>
        <t xml:space="preserve">Fecha según EDATE a partir del primer vencimiento. No ajusta automáticamente feriados.</t>
      </text>
    </comment>
    <comment authorId="0" ref="F522">
      <text>
        <t xml:space="preserve">Capital al inicio del período en el calendario ORIGINAL, sin recalcular por pagos reales.</t>
      </text>
    </comment>
    <comment authorId="0" ref="G522">
      <text>
        <t xml:space="preserve">Tasa efectiva del mes según la base ingresada.</t>
      </text>
    </comment>
    <comment authorId="0" ref="H522">
      <text>
        <t xml:space="preserve">Interés del período = capital inicial × tasa mensual, redondeado a dos decimales.</t>
      </text>
    </comment>
    <comment authorId="0" ref="I522">
      <text>
        <t xml:space="preserve">Capital e interés pactados. La última cuota ajusta el saldo por redondeo.</t>
      </text>
    </comment>
    <comment authorId="0" ref="J522">
      <text>
        <t xml:space="preserve">Capital amortizado TEÓRICO = cuota base − interés, limitado al saldo.</t>
      </text>
    </comment>
    <comment authorId="0" ref="K522">
      <text>
        <t xml:space="preserve">Seguro y otros cargos fijos del mes.</t>
      </text>
    </comment>
    <comment authorId="0" ref="L522">
      <text>
        <t xml:space="preserve">Cuota base + cargos.</t>
      </text>
    </comment>
    <comment authorId="0" ref="M522">
      <text>
        <t xml:space="preserve">Capital final del calendario teórico. No equivale al saldo real si hay pagos parciales o atrasos.</t>
      </text>
    </comment>
    <comment authorId="0" ref="N522">
      <text>
        <t xml:space="preserve">Suma de pagos válidos del mismo ID y cuota con fecha igual o anterior al corte.</t>
      </text>
    </comment>
    <comment authorId="0" ref="O522">
      <text>
        <t xml:space="preserve">MIN(amortización pactada; MAX(0; pagado − cargos − interés)). No imputa excedentes a otras cuotas.</t>
      </text>
    </comment>
    <comment authorId="0" ref="P522">
      <text>
        <t xml:space="preserve">MAX(0; total pactado − pagado a esta cuota). Incluye capital, interés y cargos pendientes de ESA cuota.</t>
      </text>
    </comment>
    <comment authorId="0" ref="Q522">
      <text>
        <t xml:space="preserve">Días desde vencimiento hasta corte, solo si venció antes del corte y sigue con saldo.</t>
      </text>
    </comment>
    <comment authorId="0" ref="R522">
      <text>
        <t xml:space="preserve">MAX(0; pagado − cuota pactada). Exceso para revisar: no se traspasa a otra cuota.</t>
      </text>
    </comment>
    <comment authorId="0" ref="S522">
      <text>
        <t xml:space="preserve">Pagada, Vencida, Vence hoy, Por vencer o Exceso sin imputar según fecha y saldo al corte.</t>
      </text>
    </comment>
    <comment authorId="0" ref="T522">
      <text>
        <t xml:space="preserve">Auxiliar para encontrar la primera cuota pendiente. El 999999 indica que esta cuota no tiene saldo pendiente o está fuera del plazo, y no es una fecha real.</t>
      </text>
    </comment>
    <comment authorId="0" ref="C523">
      <text>
        <t xml:space="preserve">Crédito al que corresponde esta cuota.</t>
      </text>
    </comment>
    <comment authorId="0" ref="D523">
      <text>
        <t xml:space="preserve">Número de cuota dentro del crédito.</t>
      </text>
    </comment>
    <comment authorId="0" ref="E523">
      <text>
        <t xml:space="preserve">Fecha según EDATE a partir del primer vencimiento. No ajusta automáticamente feriados.</t>
      </text>
    </comment>
    <comment authorId="0" ref="F523">
      <text>
        <t xml:space="preserve">Capital al inicio del período en el calendario ORIGINAL, sin recalcular por pagos reales.</t>
      </text>
    </comment>
    <comment authorId="0" ref="G523">
      <text>
        <t xml:space="preserve">Tasa efectiva del mes según la base ingresada.</t>
      </text>
    </comment>
    <comment authorId="0" ref="H523">
      <text>
        <t xml:space="preserve">Interés del período = capital inicial × tasa mensual, redondeado a dos decimales.</t>
      </text>
    </comment>
    <comment authorId="0" ref="I523">
      <text>
        <t xml:space="preserve">Capital e interés pactados. La última cuota ajusta el saldo por redondeo.</t>
      </text>
    </comment>
    <comment authorId="0" ref="J523">
      <text>
        <t xml:space="preserve">Capital amortizado TEÓRICO = cuota base − interés, limitado al saldo.</t>
      </text>
    </comment>
    <comment authorId="0" ref="K523">
      <text>
        <t xml:space="preserve">Seguro y otros cargos fijos del mes.</t>
      </text>
    </comment>
    <comment authorId="0" ref="L523">
      <text>
        <t xml:space="preserve">Cuota base + cargos.</t>
      </text>
    </comment>
    <comment authorId="0" ref="M523">
      <text>
        <t xml:space="preserve">Capital final del calendario teórico. No equivale al saldo real si hay pagos parciales o atrasos.</t>
      </text>
    </comment>
    <comment authorId="0" ref="N523">
      <text>
        <t xml:space="preserve">Suma de pagos válidos del mismo ID y cuota con fecha igual o anterior al corte.</t>
      </text>
    </comment>
    <comment authorId="0" ref="O523">
      <text>
        <t xml:space="preserve">MIN(amortización pactada; MAX(0; pagado − cargos − interés)). No imputa excedentes a otras cuotas.</t>
      </text>
    </comment>
    <comment authorId="0" ref="P523">
      <text>
        <t xml:space="preserve">MAX(0; total pactado − pagado a esta cuota). Incluye capital, interés y cargos pendientes de ESA cuota.</t>
      </text>
    </comment>
    <comment authorId="0" ref="Q523">
      <text>
        <t xml:space="preserve">Días desde vencimiento hasta corte, solo si venció antes del corte y sigue con saldo.</t>
      </text>
    </comment>
    <comment authorId="0" ref="R523">
      <text>
        <t xml:space="preserve">MAX(0; pagado − cuota pactada). Exceso para revisar: no se traspasa a otra cuota.</t>
      </text>
    </comment>
    <comment authorId="0" ref="S523">
      <text>
        <t xml:space="preserve">Pagada, Vencida, Vence hoy, Por vencer o Exceso sin imputar según fecha y saldo al corte.</t>
      </text>
    </comment>
    <comment authorId="0" ref="T523">
      <text>
        <t xml:space="preserve">Auxiliar para encontrar la primera cuota pendiente. El 999999 indica que esta cuota no tiene saldo pendiente o está fuera del plazo, y no es una fecha real.</t>
      </text>
    </comment>
    <comment authorId="0" ref="C524">
      <text>
        <t xml:space="preserve">Crédito al que corresponde esta cuota.</t>
      </text>
    </comment>
    <comment authorId="0" ref="D524">
      <text>
        <t xml:space="preserve">Número de cuota dentro del crédito.</t>
      </text>
    </comment>
    <comment authorId="0" ref="E524">
      <text>
        <t xml:space="preserve">Fecha según EDATE a partir del primer vencimiento. No ajusta automáticamente feriados.</t>
      </text>
    </comment>
    <comment authorId="0" ref="F524">
      <text>
        <t xml:space="preserve">Capital al inicio del período en el calendario ORIGINAL, sin recalcular por pagos reales.</t>
      </text>
    </comment>
    <comment authorId="0" ref="G524">
      <text>
        <t xml:space="preserve">Tasa efectiva del mes según la base ingresada.</t>
      </text>
    </comment>
    <comment authorId="0" ref="H524">
      <text>
        <t xml:space="preserve">Interés del período = capital inicial × tasa mensual, redondeado a dos decimales.</t>
      </text>
    </comment>
    <comment authorId="0" ref="I524">
      <text>
        <t xml:space="preserve">Capital e interés pactados. La última cuota ajusta el saldo por redondeo.</t>
      </text>
    </comment>
    <comment authorId="0" ref="J524">
      <text>
        <t xml:space="preserve">Capital amortizado TEÓRICO = cuota base − interés, limitado al saldo.</t>
      </text>
    </comment>
    <comment authorId="0" ref="K524">
      <text>
        <t xml:space="preserve">Seguro y otros cargos fijos del mes.</t>
      </text>
    </comment>
    <comment authorId="0" ref="L524">
      <text>
        <t xml:space="preserve">Cuota base + cargos.</t>
      </text>
    </comment>
    <comment authorId="0" ref="M524">
      <text>
        <t xml:space="preserve">Capital final del calendario teórico. No equivale al saldo real si hay pagos parciales o atrasos.</t>
      </text>
    </comment>
    <comment authorId="0" ref="N524">
      <text>
        <t xml:space="preserve">Suma de pagos válidos del mismo ID y cuota con fecha igual o anterior al corte.</t>
      </text>
    </comment>
    <comment authorId="0" ref="O524">
      <text>
        <t xml:space="preserve">MIN(amortización pactada; MAX(0; pagado − cargos − interés)). No imputa excedentes a otras cuotas.</t>
      </text>
    </comment>
    <comment authorId="0" ref="P524">
      <text>
        <t xml:space="preserve">MAX(0; total pactado − pagado a esta cuota). Incluye capital, interés y cargos pendientes de ESA cuota.</t>
      </text>
    </comment>
    <comment authorId="0" ref="Q524">
      <text>
        <t xml:space="preserve">Días desde vencimiento hasta corte, solo si venció antes del corte y sigue con saldo.</t>
      </text>
    </comment>
    <comment authorId="0" ref="R524">
      <text>
        <t xml:space="preserve">MAX(0; pagado − cuota pactada). Exceso para revisar: no se traspasa a otra cuota.</t>
      </text>
    </comment>
    <comment authorId="0" ref="S524">
      <text>
        <t xml:space="preserve">Pagada, Vencida, Vence hoy, Por vencer o Exceso sin imputar según fecha y saldo al corte.</t>
      </text>
    </comment>
    <comment authorId="0" ref="T524">
      <text>
        <t xml:space="preserve">Auxiliar para encontrar la primera cuota pendiente. El 999999 indica que esta cuota no tiene saldo pendiente o está fuera del plazo, y no es una fecha real.</t>
      </text>
    </comment>
    <comment authorId="0" ref="C525">
      <text>
        <t xml:space="preserve">Crédito al que corresponde esta cuota.</t>
      </text>
    </comment>
    <comment authorId="0" ref="D525">
      <text>
        <t xml:space="preserve">Número de cuota dentro del crédito.</t>
      </text>
    </comment>
    <comment authorId="0" ref="E525">
      <text>
        <t xml:space="preserve">Fecha según EDATE a partir del primer vencimiento. No ajusta automáticamente feriados.</t>
      </text>
    </comment>
    <comment authorId="0" ref="F525">
      <text>
        <t xml:space="preserve">Capital al inicio del período en el calendario ORIGINAL, sin recalcular por pagos reales.</t>
      </text>
    </comment>
    <comment authorId="0" ref="G525">
      <text>
        <t xml:space="preserve">Tasa efectiva del mes según la base ingresada.</t>
      </text>
    </comment>
    <comment authorId="0" ref="H525">
      <text>
        <t xml:space="preserve">Interés del período = capital inicial × tasa mensual, redondeado a dos decimales.</t>
      </text>
    </comment>
    <comment authorId="0" ref="I525">
      <text>
        <t xml:space="preserve">Capital e interés pactados. La última cuota ajusta el saldo por redondeo.</t>
      </text>
    </comment>
    <comment authorId="0" ref="J525">
      <text>
        <t xml:space="preserve">Capital amortizado TEÓRICO = cuota base − interés, limitado al saldo.</t>
      </text>
    </comment>
    <comment authorId="0" ref="K525">
      <text>
        <t xml:space="preserve">Seguro y otros cargos fijos del mes.</t>
      </text>
    </comment>
    <comment authorId="0" ref="L525">
      <text>
        <t xml:space="preserve">Cuota base + cargos.</t>
      </text>
    </comment>
    <comment authorId="0" ref="M525">
      <text>
        <t xml:space="preserve">Capital final del calendario teórico. No equivale al saldo real si hay pagos parciales o atrasos.</t>
      </text>
    </comment>
    <comment authorId="0" ref="N525">
      <text>
        <t xml:space="preserve">Suma de pagos válidos del mismo ID y cuota con fecha igual o anterior al corte.</t>
      </text>
    </comment>
    <comment authorId="0" ref="O525">
      <text>
        <t xml:space="preserve">MIN(amortización pactada; MAX(0; pagado − cargos − interés)). No imputa excedentes a otras cuotas.</t>
      </text>
    </comment>
    <comment authorId="0" ref="P525">
      <text>
        <t xml:space="preserve">MAX(0; total pactado − pagado a esta cuota). Incluye capital, interés y cargos pendientes de ESA cuota.</t>
      </text>
    </comment>
    <comment authorId="0" ref="Q525">
      <text>
        <t xml:space="preserve">Días desde vencimiento hasta corte, solo si venció antes del corte y sigue con saldo.</t>
      </text>
    </comment>
    <comment authorId="0" ref="R525">
      <text>
        <t xml:space="preserve">MAX(0; pagado − cuota pactada). Exceso para revisar: no se traspasa a otra cuota.</t>
      </text>
    </comment>
    <comment authorId="0" ref="S525">
      <text>
        <t xml:space="preserve">Pagada, Vencida, Vence hoy, Por vencer o Exceso sin imputar según fecha y saldo al corte.</t>
      </text>
    </comment>
    <comment authorId="0" ref="T525">
      <text>
        <t xml:space="preserve">Auxiliar para encontrar la primera cuota pendiente. El 999999 indica que esta cuota no tiene saldo pendiente o está fuera del plazo, y no es una fecha real.</t>
      </text>
    </comment>
    <comment authorId="0" ref="C526">
      <text>
        <t xml:space="preserve">Crédito al que corresponde esta cuota.</t>
      </text>
    </comment>
    <comment authorId="0" ref="D526">
      <text>
        <t xml:space="preserve">Número de cuota dentro del crédito.</t>
      </text>
    </comment>
    <comment authorId="0" ref="E526">
      <text>
        <t xml:space="preserve">Fecha según EDATE a partir del primer vencimiento. No ajusta automáticamente feriados.</t>
      </text>
    </comment>
    <comment authorId="0" ref="F526">
      <text>
        <t xml:space="preserve">Capital al inicio del período en el calendario ORIGINAL, sin recalcular por pagos reales.</t>
      </text>
    </comment>
    <comment authorId="0" ref="G526">
      <text>
        <t xml:space="preserve">Tasa efectiva del mes según la base ingresada.</t>
      </text>
    </comment>
    <comment authorId="0" ref="H526">
      <text>
        <t xml:space="preserve">Interés del período = capital inicial × tasa mensual, redondeado a dos decimales.</t>
      </text>
    </comment>
    <comment authorId="0" ref="I526">
      <text>
        <t xml:space="preserve">Capital e interés pactados. La última cuota ajusta el saldo por redondeo.</t>
      </text>
    </comment>
    <comment authorId="0" ref="J526">
      <text>
        <t xml:space="preserve">Capital amortizado TEÓRICO = cuota base − interés, limitado al saldo.</t>
      </text>
    </comment>
    <comment authorId="0" ref="K526">
      <text>
        <t xml:space="preserve">Seguro y otros cargos fijos del mes.</t>
      </text>
    </comment>
    <comment authorId="0" ref="L526">
      <text>
        <t xml:space="preserve">Cuota base + cargos.</t>
      </text>
    </comment>
    <comment authorId="0" ref="M526">
      <text>
        <t xml:space="preserve">Capital final del calendario teórico. No equivale al saldo real si hay pagos parciales o atrasos.</t>
      </text>
    </comment>
    <comment authorId="0" ref="N526">
      <text>
        <t xml:space="preserve">Suma de pagos válidos del mismo ID y cuota con fecha igual o anterior al corte.</t>
      </text>
    </comment>
    <comment authorId="0" ref="O526">
      <text>
        <t xml:space="preserve">MIN(amortización pactada; MAX(0; pagado − cargos − interés)). No imputa excedentes a otras cuotas.</t>
      </text>
    </comment>
    <comment authorId="0" ref="P526">
      <text>
        <t xml:space="preserve">MAX(0; total pactado − pagado a esta cuota). Incluye capital, interés y cargos pendientes de ESA cuota.</t>
      </text>
    </comment>
    <comment authorId="0" ref="Q526">
      <text>
        <t xml:space="preserve">Días desde vencimiento hasta corte, solo si venció antes del corte y sigue con saldo.</t>
      </text>
    </comment>
    <comment authorId="0" ref="R526">
      <text>
        <t xml:space="preserve">MAX(0; pagado − cuota pactada). Exceso para revisar: no se traspasa a otra cuota.</t>
      </text>
    </comment>
    <comment authorId="0" ref="S526">
      <text>
        <t xml:space="preserve">Pagada, Vencida, Vence hoy, Por vencer o Exceso sin imputar según fecha y saldo al corte.</t>
      </text>
    </comment>
    <comment authorId="0" ref="T526">
      <text>
        <t xml:space="preserve">Auxiliar para encontrar la primera cuota pendiente. El 999999 indica que esta cuota no tiene saldo pendiente o está fuera del plazo, y no es una fecha real.</t>
      </text>
    </comment>
    <comment authorId="0" ref="C527">
      <text>
        <t xml:space="preserve">Crédito al que corresponde esta cuota.</t>
      </text>
    </comment>
    <comment authorId="0" ref="D527">
      <text>
        <t xml:space="preserve">Número de cuota dentro del crédito.</t>
      </text>
    </comment>
    <comment authorId="0" ref="E527">
      <text>
        <t xml:space="preserve">Fecha según EDATE a partir del primer vencimiento. No ajusta automáticamente feriados.</t>
      </text>
    </comment>
    <comment authorId="0" ref="F527">
      <text>
        <t xml:space="preserve">Capital al inicio del período en el calendario ORIGINAL, sin recalcular por pagos reales.</t>
      </text>
    </comment>
    <comment authorId="0" ref="G527">
      <text>
        <t xml:space="preserve">Tasa efectiva del mes según la base ingresada.</t>
      </text>
    </comment>
    <comment authorId="0" ref="H527">
      <text>
        <t xml:space="preserve">Interés del período = capital inicial × tasa mensual, redondeado a dos decimales.</t>
      </text>
    </comment>
    <comment authorId="0" ref="I527">
      <text>
        <t xml:space="preserve">Capital e interés pactados. La última cuota ajusta el saldo por redondeo.</t>
      </text>
    </comment>
    <comment authorId="0" ref="J527">
      <text>
        <t xml:space="preserve">Capital amortizado TEÓRICO = cuota base − interés, limitado al saldo.</t>
      </text>
    </comment>
    <comment authorId="0" ref="K527">
      <text>
        <t xml:space="preserve">Seguro y otros cargos fijos del mes.</t>
      </text>
    </comment>
    <comment authorId="0" ref="L527">
      <text>
        <t xml:space="preserve">Cuota base + cargos.</t>
      </text>
    </comment>
    <comment authorId="0" ref="M527">
      <text>
        <t xml:space="preserve">Capital final del calendario teórico. No equivale al saldo real si hay pagos parciales o atrasos.</t>
      </text>
    </comment>
    <comment authorId="0" ref="N527">
      <text>
        <t xml:space="preserve">Suma de pagos válidos del mismo ID y cuota con fecha igual o anterior al corte.</t>
      </text>
    </comment>
    <comment authorId="0" ref="O527">
      <text>
        <t xml:space="preserve">MIN(amortización pactada; MAX(0; pagado − cargos − interés)). No imputa excedentes a otras cuotas.</t>
      </text>
    </comment>
    <comment authorId="0" ref="P527">
      <text>
        <t xml:space="preserve">MAX(0; total pactado − pagado a esta cuota). Incluye capital, interés y cargos pendientes de ESA cuota.</t>
      </text>
    </comment>
    <comment authorId="0" ref="Q527">
      <text>
        <t xml:space="preserve">Días desde vencimiento hasta corte, solo si venció antes del corte y sigue con saldo.</t>
      </text>
    </comment>
    <comment authorId="0" ref="R527">
      <text>
        <t xml:space="preserve">MAX(0; pagado − cuota pactada). Exceso para revisar: no se traspasa a otra cuota.</t>
      </text>
    </comment>
    <comment authorId="0" ref="S527">
      <text>
        <t xml:space="preserve">Pagada, Vencida, Vence hoy, Por vencer o Exceso sin imputar según fecha y saldo al corte.</t>
      </text>
    </comment>
    <comment authorId="0" ref="T527">
      <text>
        <t xml:space="preserve">Auxiliar para encontrar la primera cuota pendiente. El 999999 indica que esta cuota no tiene saldo pendiente o está fuera del plazo, y no es una fecha real.</t>
      </text>
    </comment>
    <comment authorId="0" ref="C528">
      <text>
        <t xml:space="preserve">Crédito al que corresponde esta cuota.</t>
      </text>
    </comment>
    <comment authorId="0" ref="D528">
      <text>
        <t xml:space="preserve">Número de cuota dentro del crédito.</t>
      </text>
    </comment>
    <comment authorId="0" ref="E528">
      <text>
        <t xml:space="preserve">Fecha según EDATE a partir del primer vencimiento. No ajusta automáticamente feriados.</t>
      </text>
    </comment>
    <comment authorId="0" ref="F528">
      <text>
        <t xml:space="preserve">Capital al inicio del período en el calendario ORIGINAL, sin recalcular por pagos reales.</t>
      </text>
    </comment>
    <comment authorId="0" ref="G528">
      <text>
        <t xml:space="preserve">Tasa efectiva del mes según la base ingresada.</t>
      </text>
    </comment>
    <comment authorId="0" ref="H528">
      <text>
        <t xml:space="preserve">Interés del período = capital inicial × tasa mensual, redondeado a dos decimales.</t>
      </text>
    </comment>
    <comment authorId="0" ref="I528">
      <text>
        <t xml:space="preserve">Capital e interés pactados. La última cuota ajusta el saldo por redondeo.</t>
      </text>
    </comment>
    <comment authorId="0" ref="J528">
      <text>
        <t xml:space="preserve">Capital amortizado TEÓRICO = cuota base − interés, limitado al saldo.</t>
      </text>
    </comment>
    <comment authorId="0" ref="K528">
      <text>
        <t xml:space="preserve">Seguro y otros cargos fijos del mes.</t>
      </text>
    </comment>
    <comment authorId="0" ref="L528">
      <text>
        <t xml:space="preserve">Cuota base + cargos.</t>
      </text>
    </comment>
    <comment authorId="0" ref="M528">
      <text>
        <t xml:space="preserve">Capital final del calendario teórico. No equivale al saldo real si hay pagos parciales o atrasos.</t>
      </text>
    </comment>
    <comment authorId="0" ref="N528">
      <text>
        <t xml:space="preserve">Suma de pagos válidos del mismo ID y cuota con fecha igual o anterior al corte.</t>
      </text>
    </comment>
    <comment authorId="0" ref="O528">
      <text>
        <t xml:space="preserve">MIN(amortización pactada; MAX(0; pagado − cargos − interés)). No imputa excedentes a otras cuotas.</t>
      </text>
    </comment>
    <comment authorId="0" ref="P528">
      <text>
        <t xml:space="preserve">MAX(0; total pactado − pagado a esta cuota). Incluye capital, interés y cargos pendientes de ESA cuota.</t>
      </text>
    </comment>
    <comment authorId="0" ref="Q528">
      <text>
        <t xml:space="preserve">Días desde vencimiento hasta corte, solo si venció antes del corte y sigue con saldo.</t>
      </text>
    </comment>
    <comment authorId="0" ref="R528">
      <text>
        <t xml:space="preserve">MAX(0; pagado − cuota pactada). Exceso para revisar: no se traspasa a otra cuota.</t>
      </text>
    </comment>
    <comment authorId="0" ref="S528">
      <text>
        <t xml:space="preserve">Pagada, Vencida, Vence hoy, Por vencer o Exceso sin imputar según fecha y saldo al corte.</t>
      </text>
    </comment>
    <comment authorId="0" ref="T528">
      <text>
        <t xml:space="preserve">Auxiliar para encontrar la primera cuota pendiente. El 999999 indica que esta cuota no tiene saldo pendiente o está fuera del plazo, y no es una fecha real.</t>
      </text>
    </comment>
    <comment authorId="0" ref="C529">
      <text>
        <t xml:space="preserve">Crédito al que corresponde esta cuota.</t>
      </text>
    </comment>
    <comment authorId="0" ref="D529">
      <text>
        <t xml:space="preserve">Número de cuota dentro del crédito.</t>
      </text>
    </comment>
    <comment authorId="0" ref="E529">
      <text>
        <t xml:space="preserve">Fecha según EDATE a partir del primer vencimiento. No ajusta automáticamente feriados.</t>
      </text>
    </comment>
    <comment authorId="0" ref="F529">
      <text>
        <t xml:space="preserve">Capital al inicio del período en el calendario ORIGINAL, sin recalcular por pagos reales.</t>
      </text>
    </comment>
    <comment authorId="0" ref="G529">
      <text>
        <t xml:space="preserve">Tasa efectiva del mes según la base ingresada.</t>
      </text>
    </comment>
    <comment authorId="0" ref="H529">
      <text>
        <t xml:space="preserve">Interés del período = capital inicial × tasa mensual, redondeado a dos decimales.</t>
      </text>
    </comment>
    <comment authorId="0" ref="I529">
      <text>
        <t xml:space="preserve">Capital e interés pactados. La última cuota ajusta el saldo por redondeo.</t>
      </text>
    </comment>
    <comment authorId="0" ref="J529">
      <text>
        <t xml:space="preserve">Capital amortizado TEÓRICO = cuota base − interés, limitado al saldo.</t>
      </text>
    </comment>
    <comment authorId="0" ref="K529">
      <text>
        <t xml:space="preserve">Seguro y otros cargos fijos del mes.</t>
      </text>
    </comment>
    <comment authorId="0" ref="L529">
      <text>
        <t xml:space="preserve">Cuota base + cargos.</t>
      </text>
    </comment>
    <comment authorId="0" ref="M529">
      <text>
        <t xml:space="preserve">Capital final del calendario teórico. No equivale al saldo real si hay pagos parciales o atrasos.</t>
      </text>
    </comment>
    <comment authorId="0" ref="N529">
      <text>
        <t xml:space="preserve">Suma de pagos válidos del mismo ID y cuota con fecha igual o anterior al corte.</t>
      </text>
    </comment>
    <comment authorId="0" ref="O529">
      <text>
        <t xml:space="preserve">MIN(amortización pactada; MAX(0; pagado − cargos − interés)). No imputa excedentes a otras cuotas.</t>
      </text>
    </comment>
    <comment authorId="0" ref="P529">
      <text>
        <t xml:space="preserve">MAX(0; total pactado − pagado a esta cuota). Incluye capital, interés y cargos pendientes de ESA cuota.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Fecha real. Solo pagos hasta Supuestos!D6 se incluyen en el corte.</t>
      </text>
    </comment>
    <comment authorId="0" ref="F13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3">
      <text>
        <t xml:space="preserve">Referencia de comprobante y explicación de la imputación.</t>
      </text>
    </comment>
    <comment authorId="0" ref="H133">
      <text>
        <t xml:space="preserve">Revisar pago si faltan datos o la cuota/crédito no existe. Pagos futuros válidos quedan registrados pero excluidos al corte.</t>
      </text>
    </comment>
    <comment authorId="0" ref="C266">
      <text>
        <t xml:space="preserve">ID existente y único en Creditos.</t>
      </text>
    </comment>
    <comment authorId="0" ref="D266">
      <text>
        <t xml:space="preserve">Cuota específica a la que imputas el pago. Si una transferencia paga varias cuotas, distribúyela en filas separadas por cuota.</t>
      </text>
    </comment>
    <comment authorId="0" ref="E266">
      <text>
        <t xml:space="preserve">Fecha real. Solo pagos hasta Supuestos!D6 se incluyen en el corte.</t>
      </text>
    </comment>
    <comment authorId="0" ref="F26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4">
      <text>
        <t xml:space="preserve">ID existente y único en Creditos.</t>
      </text>
    </comment>
    <comment authorId="0" ref="G266">
      <text>
        <t xml:space="preserve">Referencia de comprobante y explicación de la imputación.</t>
      </text>
    </comment>
    <comment authorId="0" ref="D134">
      <text>
        <t xml:space="preserve">Cuota específica a la que imputas el pago. Si una transferencia paga varias cuotas, distribúyela en filas separadas por cuota.</t>
      </text>
    </comment>
    <comment authorId="0" ref="H266">
      <text>
        <t xml:space="preserve">Revisar pago si faltan datos o la cuota/crédito no existe. Pagos futuros válidos quedan registrados pero excluidos al corte.</t>
      </text>
    </comment>
    <comment authorId="0" ref="E134">
      <text>
        <t xml:space="preserve">Fecha real. Solo pagos hasta Supuestos!D6 se incluyen en el corte.</t>
      </text>
    </comment>
    <comment authorId="0" ref="F13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4">
      <text>
        <t xml:space="preserve">Referencia de comprobante y explicación de la imputación.</t>
      </text>
    </comment>
    <comment authorId="0" ref="H134">
      <text>
        <t xml:space="preserve">Revisar pago si faltan datos o la cuota/crédito no existe. Pagos futuros válidos quedan registrados pero excluidos al corte.</t>
      </text>
    </comment>
    <comment authorId="0" ref="C267">
      <text>
        <t xml:space="preserve">ID existente y único en Creditos.</t>
      </text>
    </comment>
    <comment authorId="0" ref="D267">
      <text>
        <t xml:space="preserve">Cuota específica a la que imputas el pago. Si una transferencia paga varias cuotas, distribúyela en filas separadas por cuota.</t>
      </text>
    </comment>
    <comment authorId="0" ref="E267">
      <text>
        <t xml:space="preserve">Fecha real. Solo pagos hasta Supuestos!D6 se incluyen en el corte.</t>
      </text>
    </comment>
    <comment authorId="0" ref="F26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5">
      <text>
        <t xml:space="preserve">ID existente y único en Creditos.</t>
      </text>
    </comment>
    <comment authorId="0" ref="G267">
      <text>
        <t xml:space="preserve">Referencia de comprobante y explicación de la imputación.</t>
      </text>
    </comment>
    <comment authorId="0" ref="D135">
      <text>
        <t xml:space="preserve">Cuota específica a la que imputas el pago. Si una transferencia paga varias cuotas, distribúyela en filas separadas por cuota.</t>
      </text>
    </comment>
    <comment authorId="0" ref="H267">
      <text>
        <t xml:space="preserve">Revisar pago si faltan datos o la cuota/crédito no existe. Pagos futuros válidos quedan registrados pero excluidos al corte.</t>
      </text>
    </comment>
    <comment authorId="0" ref="E135">
      <text>
        <t xml:space="preserve">Fecha real. Solo pagos hasta Supuestos!D6 se incluyen en el corte.</t>
      </text>
    </comment>
    <comment authorId="0" ref="F13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5">
      <text>
        <t xml:space="preserve">Referencia de comprobante y explicación de la imputación.</t>
      </text>
    </comment>
    <comment authorId="0" ref="H135">
      <text>
        <t xml:space="preserve">Revisar pago si faltan datos o la cuota/crédito no existe. Pagos futuros válidos quedan registrados pero excluidos al corte.</t>
      </text>
    </comment>
    <comment authorId="0" ref="C268">
      <text>
        <t xml:space="preserve">ID existente y único en Creditos.</t>
      </text>
    </comment>
    <comment authorId="0" ref="D268">
      <text>
        <t xml:space="preserve">Cuota específica a la que imputas el pago. Si una transferencia paga varias cuotas, distribúyela en filas separadas por cuota.</t>
      </text>
    </comment>
    <comment authorId="0" ref="E268">
      <text>
        <t xml:space="preserve">Fecha real. Solo pagos hasta Supuestos!D6 se incluyen en el corte.</t>
      </text>
    </comment>
    <comment authorId="0" ref="F26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6">
      <text>
        <t xml:space="preserve">ID existente y único en Creditos.</t>
      </text>
    </comment>
    <comment authorId="0" ref="G268">
      <text>
        <t xml:space="preserve">Referencia de comprobante y explicación de la imputación.</t>
      </text>
    </comment>
    <comment authorId="0" ref="D136">
      <text>
        <t xml:space="preserve">Cuota específica a la que imputas el pago. Si una transferencia paga varias cuotas, distribúyela en filas separadas por cuota.</t>
      </text>
    </comment>
    <comment authorId="0" ref="H268">
      <text>
        <t xml:space="preserve">Revisar pago si faltan datos o la cuota/crédito no existe. Pagos futuros válidos quedan registrados pero excluidos al corte.</t>
      </text>
    </comment>
    <comment authorId="0" ref="E136">
      <text>
        <t xml:space="preserve">Fecha real. Solo pagos hasta Supuestos!D6 se incluyen en el corte.</t>
      </text>
    </comment>
    <comment authorId="0" ref="F13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6">
      <text>
        <t xml:space="preserve">Referencia de comprobante y explicación de la imputación.</t>
      </text>
    </comment>
    <comment authorId="0" ref="H136">
      <text>
        <t xml:space="preserve">Revisar pago si faltan datos o la cuota/crédito no existe. Pagos futuros válidos quedan registrados pero excluidos al corte.</t>
      </text>
    </comment>
    <comment authorId="0" ref="C269">
      <text>
        <t xml:space="preserve">ID existente y único en Creditos.</t>
      </text>
    </comment>
    <comment authorId="0" ref="D269">
      <text>
        <t xml:space="preserve">Cuota específica a la que imputas el pago. Si una transferencia paga varias cuotas, distribúyela en filas separadas por cuota.</t>
      </text>
    </comment>
    <comment authorId="0" ref="E269">
      <text>
        <t xml:space="preserve">Fecha real. Solo pagos hasta Supuestos!D6 se incluyen en el corte.</t>
      </text>
    </comment>
    <comment authorId="0" ref="F26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7">
      <text>
        <t xml:space="preserve">ID existente y único en Creditos.</t>
      </text>
    </comment>
    <comment authorId="0" ref="G269">
      <text>
        <t xml:space="preserve">Referencia de comprobante y explicación de la imputación.</t>
      </text>
    </comment>
    <comment authorId="0" ref="D137">
      <text>
        <t xml:space="preserve">Cuota específica a la que imputas el pago. Si una transferencia paga varias cuotas, distribúyela en filas separadas por cuota.</t>
      </text>
    </comment>
    <comment authorId="0" ref="H269">
      <text>
        <t xml:space="preserve">Revisar pago si faltan datos o la cuota/crédito no existe. Pagos futuros válidos quedan registrados pero excluidos al corte.</t>
      </text>
    </comment>
    <comment authorId="0" ref="E137">
      <text>
        <t xml:space="preserve">Fecha real. Solo pagos hasta Supuestos!D6 se incluyen en el corte.</t>
      </text>
    </comment>
    <comment authorId="0" ref="F13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">
      <text>
        <t xml:space="preserve">ID existente y único en Creditos.</t>
      </text>
    </comment>
    <comment authorId="0" ref="G137">
      <text>
        <t xml:space="preserve">Referencia de comprobante y explicación de la imputación.</t>
      </text>
    </comment>
    <comment authorId="0" ref="D5">
      <text>
        <t xml:space="preserve">Cuota específica a la que imputas el pago. Si una transferencia paga varias cuotas, distribúyela en filas separadas por cuota.</t>
      </text>
    </comment>
    <comment authorId="0" ref="H137">
      <text>
        <t xml:space="preserve">Revisar pago si faltan datos o la cuota/crédito no existe. Pagos futuros válidos quedan registrados pero excluidos al corte.</t>
      </text>
    </comment>
    <comment authorId="0" ref="E5">
      <text>
        <t xml:space="preserve">Fecha real. Solo pagos hasta Supuestos!D6 se incluyen en el corte.</t>
      </text>
    </comment>
    <comment authorId="0" ref="F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">
      <text>
        <t xml:space="preserve">Referencia de comprobante y explicación de la imputación.</t>
      </text>
    </comment>
    <comment authorId="0" ref="H5">
      <text>
        <t xml:space="preserve">Revisar pago si faltan datos o la cuota/crédito no existe. Pagos futuros válidos quedan registrados pero excluidos al corte.</t>
      </text>
    </comment>
    <comment authorId="0" ref="C270">
      <text>
        <t xml:space="preserve">ID existente y único en Creditos.</t>
      </text>
    </comment>
    <comment authorId="0" ref="D270">
      <text>
        <t xml:space="preserve">Cuota específica a la que imputas el pago. Si una transferencia paga varias cuotas, distribúyela en filas separadas por cuota.</t>
      </text>
    </comment>
    <comment authorId="0" ref="E270">
      <text>
        <t xml:space="preserve">Fecha real. Solo pagos hasta Supuestos!D6 se incluyen en el corte.</t>
      </text>
    </comment>
    <comment authorId="0" ref="F27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8">
      <text>
        <t xml:space="preserve">ID existente y único en Creditos.</t>
      </text>
    </comment>
    <comment authorId="0" ref="G270">
      <text>
        <t xml:space="preserve">Referencia de comprobante y explicación de la imputación.</t>
      </text>
    </comment>
    <comment authorId="0" ref="D138">
      <text>
        <t xml:space="preserve">Cuota específica a la que imputas el pago. Si una transferencia paga varias cuotas, distribúyela en filas separadas por cuota.</t>
      </text>
    </comment>
    <comment authorId="0" ref="H270">
      <text>
        <t xml:space="preserve">Revisar pago si faltan datos o la cuota/crédito no existe. Pagos futuros válidos quedan registrados pero excluidos al corte.</t>
      </text>
    </comment>
    <comment authorId="0" ref="E138">
      <text>
        <t xml:space="preserve">Fecha real. Solo pagos hasta Supuestos!D6 se incluyen en el corte.</t>
      </text>
    </comment>
    <comment authorId="0" ref="F13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">
      <text>
        <t xml:space="preserve">ID existente y único en Creditos.</t>
      </text>
    </comment>
    <comment authorId="0" ref="G138">
      <text>
        <t xml:space="preserve">Referencia de comprobante y explicación de la imputación.</t>
      </text>
    </comment>
    <comment authorId="0" ref="D6">
      <text>
        <t xml:space="preserve">Cuota específica a la que imputas el pago. Si una transferencia paga varias cuotas, distribúyela en filas separadas por cuota.</t>
      </text>
    </comment>
    <comment authorId="0" ref="H138">
      <text>
        <t xml:space="preserve">Revisar pago si faltan datos o la cuota/crédito no existe. Pagos futuros válidos quedan registrados pero excluidos al corte.</t>
      </text>
    </comment>
    <comment authorId="0" ref="E6">
      <text>
        <t xml:space="preserve">Fecha real. Solo pagos hasta Supuestos!D6 se incluyen en el corte.</t>
      </text>
    </comment>
    <comment authorId="0" ref="F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">
      <text>
        <t xml:space="preserve">Referencia de comprobante y explicación de la imputación.</t>
      </text>
    </comment>
    <comment authorId="0" ref="H6">
      <text>
        <t xml:space="preserve">Revisar pago si faltan datos o la cuota/crédito no existe. Pagos futuros válidos quedan registrados pero excluidos al corte.</t>
      </text>
    </comment>
    <comment authorId="0" ref="C271">
      <text>
        <t xml:space="preserve">ID existente y único en Creditos.</t>
      </text>
    </comment>
    <comment authorId="0" ref="D271">
      <text>
        <t xml:space="preserve">Cuota específica a la que imputas el pago. Si una transferencia paga varias cuotas, distribúyela en filas separadas por cuota.</t>
      </text>
    </comment>
    <comment authorId="0" ref="E271">
      <text>
        <t xml:space="preserve">Fecha real. Solo pagos hasta Supuestos!D6 se incluyen en el corte.</t>
      </text>
    </comment>
    <comment authorId="0" ref="F27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9">
      <text>
        <t xml:space="preserve">ID existente y único en Creditos.</t>
      </text>
    </comment>
    <comment authorId="0" ref="G271">
      <text>
        <t xml:space="preserve">Referencia de comprobante y explicación de la imputación.</t>
      </text>
    </comment>
    <comment authorId="0" ref="D139">
      <text>
        <t xml:space="preserve">Cuota específica a la que imputas el pago. Si una transferencia paga varias cuotas, distribúyela en filas separadas por cuota.</t>
      </text>
    </comment>
    <comment authorId="0" ref="H271">
      <text>
        <t xml:space="preserve">Revisar pago si faltan datos o la cuota/crédito no existe. Pagos futuros válidos quedan registrados pero excluidos al corte.</t>
      </text>
    </comment>
    <comment authorId="0" ref="E139">
      <text>
        <t xml:space="preserve">Fecha real. Solo pagos hasta Supuestos!D6 se incluyen en el corte.</t>
      </text>
    </comment>
    <comment authorId="0" ref="F13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">
      <text>
        <t xml:space="preserve">ID existente y único en Creditos.</t>
      </text>
    </comment>
    <comment authorId="0" ref="G139">
      <text>
        <t xml:space="preserve">Referencia de comprobante y explicación de la imputación.</t>
      </text>
    </comment>
    <comment authorId="0" ref="D7">
      <text>
        <t xml:space="preserve">Cuota específica a la que imputas el pago. Si una transferencia paga varias cuotas, distribúyela en filas separadas por cuota.</t>
      </text>
    </comment>
    <comment authorId="0" ref="H139">
      <text>
        <t xml:space="preserve">Revisar pago si faltan datos o la cuota/crédito no existe. Pagos futuros válidos quedan registrados pero excluidos al corte.</t>
      </text>
    </comment>
    <comment authorId="0" ref="E7">
      <text>
        <t xml:space="preserve">Fecha real. Solo pagos hasta Supuestos!D6 se incluyen en el corte.</t>
      </text>
    </comment>
    <comment authorId="0" ref="F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">
      <text>
        <t xml:space="preserve">Referencia de comprobante y explicación de la imputación.</t>
      </text>
    </comment>
    <comment authorId="0" ref="H7">
      <text>
        <t xml:space="preserve">Revisar pago si faltan datos o la cuota/crédito no existe. Pagos futuros válidos quedan registrados pero excluidos al corte.</t>
      </text>
    </comment>
    <comment authorId="0" ref="C272">
      <text>
        <t xml:space="preserve">ID existente y único en Creditos.</t>
      </text>
    </comment>
    <comment authorId="0" ref="D272">
      <text>
        <t xml:space="preserve">Cuota específica a la que imputas el pago. Si una transferencia paga varias cuotas, distribúyela en filas separadas por cuota.</t>
      </text>
    </comment>
    <comment authorId="0" ref="E272">
      <text>
        <t xml:space="preserve">Fecha real. Solo pagos hasta Supuestos!D6 se incluyen en el corte.</t>
      </text>
    </comment>
    <comment authorId="0" ref="F27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0">
      <text>
        <t xml:space="preserve">ID existente y único en Creditos.</t>
      </text>
    </comment>
    <comment authorId="0" ref="G272">
      <text>
        <t xml:space="preserve">Referencia de comprobante y explicación de la imputación.</t>
      </text>
    </comment>
    <comment authorId="0" ref="D140">
      <text>
        <t xml:space="preserve">Cuota específica a la que imputas el pago. Si una transferencia paga varias cuotas, distribúyela en filas separadas por cuota.</t>
      </text>
    </comment>
    <comment authorId="0" ref="H272">
      <text>
        <t xml:space="preserve">Revisar pago si faltan datos o la cuota/crédito no existe. Pagos futuros válidos quedan registrados pero excluidos al corte.</t>
      </text>
    </comment>
    <comment authorId="0" ref="E140">
      <text>
        <t xml:space="preserve">Fecha real. Solo pagos hasta Supuestos!D6 se incluyen en el corte.</t>
      </text>
    </comment>
    <comment authorId="0" ref="F14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">
      <text>
        <t xml:space="preserve">ID existente y único en Creditos.</t>
      </text>
    </comment>
    <comment authorId="0" ref="G140">
      <text>
        <t xml:space="preserve">Referencia de comprobante y explicación de la imputación.</t>
      </text>
    </comment>
    <comment authorId="0" ref="D8">
      <text>
        <t xml:space="preserve">Cuota específica a la que imputas el pago. Si una transferencia paga varias cuotas, distribúyela en filas separadas por cuota.</t>
      </text>
    </comment>
    <comment authorId="0" ref="H140">
      <text>
        <t xml:space="preserve">Revisar pago si faltan datos o la cuota/crédito no existe. Pagos futuros válidos quedan registrados pero excluidos al corte.</t>
      </text>
    </comment>
    <comment authorId="0" ref="E8">
      <text>
        <t xml:space="preserve">Fecha real. Solo pagos hasta Supuestos!D6 se incluyen en el corte.</t>
      </text>
    </comment>
    <comment authorId="0" ref="F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">
      <text>
        <t xml:space="preserve">Referencia de comprobante y explicación de la imputación.</t>
      </text>
    </comment>
    <comment authorId="0" ref="H8">
      <text>
        <t xml:space="preserve">Revisar pago si faltan datos o la cuota/crédito no existe. Pagos futuros válidos quedan registrados pero excluidos al corte.</t>
      </text>
    </comment>
    <comment authorId="0" ref="C273">
      <text>
        <t xml:space="preserve">ID existente y único en Creditos.</t>
      </text>
    </comment>
    <comment authorId="0" ref="D273">
      <text>
        <t xml:space="preserve">Cuota específica a la que imputas el pago. Si una transferencia paga varias cuotas, distribúyela en filas separadas por cuota.</t>
      </text>
    </comment>
    <comment authorId="0" ref="E273">
      <text>
        <t xml:space="preserve">Fecha real. Solo pagos hasta Supuestos!D6 se incluyen en el corte.</t>
      </text>
    </comment>
    <comment authorId="0" ref="F27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1">
      <text>
        <t xml:space="preserve">ID existente y único en Creditos.</t>
      </text>
    </comment>
    <comment authorId="0" ref="G273">
      <text>
        <t xml:space="preserve">Referencia de comprobante y explicación de la imputación.</t>
      </text>
    </comment>
    <comment authorId="0" ref="D141">
      <text>
        <t xml:space="preserve">Cuota específica a la que imputas el pago. Si una transferencia paga varias cuotas, distribúyela en filas separadas por cuota.</t>
      </text>
    </comment>
    <comment authorId="0" ref="H273">
      <text>
        <t xml:space="preserve">Revisar pago si faltan datos o la cuota/crédito no existe. Pagos futuros válidos quedan registrados pero excluidos al corte.</t>
      </text>
    </comment>
    <comment authorId="0" ref="E141">
      <text>
        <t xml:space="preserve">Fecha real. Solo pagos hasta Supuestos!D6 se incluyen en el corte.</t>
      </text>
    </comment>
    <comment authorId="0" ref="F14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">
      <text>
        <t xml:space="preserve">ID existente y único en Creditos.</t>
      </text>
    </comment>
    <comment authorId="0" ref="G141">
      <text>
        <t xml:space="preserve">Referencia de comprobante y explicación de la imputación.</t>
      </text>
    </comment>
    <comment authorId="0" ref="D9">
      <text>
        <t xml:space="preserve">Cuota específica a la que imputas el pago. Si una transferencia paga varias cuotas, distribúyela en filas separadas por cuota.</t>
      </text>
    </comment>
    <comment authorId="0" ref="H141">
      <text>
        <t xml:space="preserve">Revisar pago si faltan datos o la cuota/crédito no existe. Pagos futuros válidos quedan registrados pero excluidos al corte.</t>
      </text>
    </comment>
    <comment authorId="0" ref="E9">
      <text>
        <t xml:space="preserve">Fecha real. Solo pagos hasta Supuestos!D6 se incluyen en el corte.</t>
      </text>
    </comment>
    <comment authorId="0" ref="F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">
      <text>
        <t xml:space="preserve">Referencia de comprobante y explicación de la imputación.</t>
      </text>
    </comment>
    <comment authorId="0" ref="H9">
      <text>
        <t xml:space="preserve">Revisar pago si faltan datos o la cuota/crédito no existe. Pagos futuros válidos quedan registrados pero excluidos al corte.</t>
      </text>
    </comment>
    <comment authorId="0" ref="C274">
      <text>
        <t xml:space="preserve">ID existente y único en Creditos.</t>
      </text>
    </comment>
    <comment authorId="0" ref="D274">
      <text>
        <t xml:space="preserve">Cuota específica a la que imputas el pago. Si una transferencia paga varias cuotas, distribúyela en filas separadas por cuota.</t>
      </text>
    </comment>
    <comment authorId="0" ref="E274">
      <text>
        <t xml:space="preserve">Fecha real. Solo pagos hasta Supuestos!D6 se incluyen en el corte.</t>
      </text>
    </comment>
    <comment authorId="0" ref="F27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2">
      <text>
        <t xml:space="preserve">ID existente y único en Creditos.</t>
      </text>
    </comment>
    <comment authorId="0" ref="G274">
      <text>
        <t xml:space="preserve">Referencia de comprobante y explicación de la imputación.</t>
      </text>
    </comment>
    <comment authorId="0" ref="D142">
      <text>
        <t xml:space="preserve">Cuota específica a la que imputas el pago. Si una transferencia paga varias cuotas, distribúyela en filas separadas por cuota.</t>
      </text>
    </comment>
    <comment authorId="0" ref="H274">
      <text>
        <t xml:space="preserve">Revisar pago si faltan datos o la cuota/crédito no existe. Pagos futuros válidos quedan registrados pero excluidos al corte.</t>
      </text>
    </comment>
    <comment authorId="0" ref="E142">
      <text>
        <t xml:space="preserve">Fecha real. Solo pagos hasta Supuestos!D6 se incluyen en el corte.</t>
      </text>
    </comment>
    <comment authorId="0" ref="F14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">
      <text>
        <t xml:space="preserve">ID existente y único en Creditos.</t>
      </text>
    </comment>
    <comment authorId="0" ref="G142">
      <text>
        <t xml:space="preserve">Referencia de comprobante y explicación de la imputación.</t>
      </text>
    </comment>
    <comment authorId="0" ref="D10">
      <text>
        <t xml:space="preserve">Cuota específica a la que imputas el pago. Si una transferencia paga varias cuotas, distribúyela en filas separadas por cuota.</t>
      </text>
    </comment>
    <comment authorId="0" ref="H142">
      <text>
        <t xml:space="preserve">Revisar pago si faltan datos o la cuota/crédito no existe. Pagos futuros válidos quedan registrados pero excluidos al corte.</t>
      </text>
    </comment>
    <comment authorId="0" ref="E10">
      <text>
        <t xml:space="preserve">Fecha real. Solo pagos hasta Supuestos!D6 se incluyen en el corte.</t>
      </text>
    </comment>
    <comment authorId="0" ref="F1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">
      <text>
        <t xml:space="preserve">Referencia de comprobante y explicación de la imputación.</t>
      </text>
    </comment>
    <comment authorId="0" ref="H10">
      <text>
        <t xml:space="preserve">Revisar pago si faltan datos o la cuota/crédito no existe. Pagos futuros válidos quedan registrados pero excluidos al corte.</t>
      </text>
    </comment>
    <comment authorId="0" ref="C275">
      <text>
        <t xml:space="preserve">ID existente y único en Creditos.</t>
      </text>
    </comment>
    <comment authorId="0" ref="D275">
      <text>
        <t xml:space="preserve">Cuota específica a la que imputas el pago. Si una transferencia paga varias cuotas, distribúyela en filas separadas por cuota.</t>
      </text>
    </comment>
    <comment authorId="0" ref="E275">
      <text>
        <t xml:space="preserve">Fecha real. Solo pagos hasta Supuestos!D6 se incluyen en el corte.</t>
      </text>
    </comment>
    <comment authorId="0" ref="F27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3">
      <text>
        <t xml:space="preserve">ID existente y único en Creditos.</t>
      </text>
    </comment>
    <comment authorId="0" ref="G275">
      <text>
        <t xml:space="preserve">Referencia de comprobante y explicación de la imputación.</t>
      </text>
    </comment>
    <comment authorId="0" ref="D143">
      <text>
        <t xml:space="preserve">Cuota específica a la que imputas el pago. Si una transferencia paga varias cuotas, distribúyela en filas separadas por cuota.</t>
      </text>
    </comment>
    <comment authorId="0" ref="H275">
      <text>
        <t xml:space="preserve">Revisar pago si faltan datos o la cuota/crédito no existe. Pagos futuros válidos quedan registrados pero excluidos al corte.</t>
      </text>
    </comment>
    <comment authorId="0" ref="E143">
      <text>
        <t xml:space="preserve">Fecha real. Solo pagos hasta Supuestos!D6 se incluyen en el corte.</t>
      </text>
    </comment>
    <comment authorId="0" ref="F14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">
      <text>
        <t xml:space="preserve">ID existente y único en Creditos.</t>
      </text>
    </comment>
    <comment authorId="0" ref="G143">
      <text>
        <t xml:space="preserve">Referencia de comprobante y explicación de la imputación.</t>
      </text>
    </comment>
    <comment authorId="0" ref="D11">
      <text>
        <t xml:space="preserve">Cuota específica a la que imputas el pago. Si una transferencia paga varias cuotas, distribúyela en filas separadas por cuota.</t>
      </text>
    </comment>
    <comment authorId="0" ref="H143">
      <text>
        <t xml:space="preserve">Revisar pago si faltan datos o la cuota/crédito no existe. Pagos futuros válidos quedan registrados pero excluidos al corte.</t>
      </text>
    </comment>
    <comment authorId="0" ref="E11">
      <text>
        <t xml:space="preserve">Fecha real. Solo pagos hasta Supuestos!D6 se incluyen en el corte.</t>
      </text>
    </comment>
    <comment authorId="0" ref="F1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">
      <text>
        <t xml:space="preserve">Referencia de comprobante y explicación de la imputación.</t>
      </text>
    </comment>
    <comment authorId="0" ref="H11">
      <text>
        <t xml:space="preserve">Revisar pago si faltan datos o la cuota/crédito no existe. Pagos futuros válidos quedan registrados pero excluidos al corte.</t>
      </text>
    </comment>
    <comment authorId="0" ref="C276">
      <text>
        <t xml:space="preserve">ID existente y único en Creditos.</t>
      </text>
    </comment>
    <comment authorId="0" ref="D276">
      <text>
        <t xml:space="preserve">Cuota específica a la que imputas el pago. Si una transferencia paga varias cuotas, distribúyela en filas separadas por cuota.</t>
      </text>
    </comment>
    <comment authorId="0" ref="E276">
      <text>
        <t xml:space="preserve">Fecha real. Solo pagos hasta Supuestos!D6 se incluyen en el corte.</t>
      </text>
    </comment>
    <comment authorId="0" ref="F27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4">
      <text>
        <t xml:space="preserve">ID existente y único en Creditos.</t>
      </text>
    </comment>
    <comment authorId="0" ref="G276">
      <text>
        <t xml:space="preserve">Referencia de comprobante y explicación de la imputación.</t>
      </text>
    </comment>
    <comment authorId="0" ref="D144">
      <text>
        <t xml:space="preserve">Cuota específica a la que imputas el pago. Si una transferencia paga varias cuotas, distribúyela en filas separadas por cuota.</t>
      </text>
    </comment>
    <comment authorId="0" ref="H276">
      <text>
        <t xml:space="preserve">Revisar pago si faltan datos o la cuota/crédito no existe. Pagos futuros válidos quedan registrados pero excluidos al corte.</t>
      </text>
    </comment>
    <comment authorId="0" ref="E144">
      <text>
        <t xml:space="preserve">Fecha real. Solo pagos hasta Supuestos!D6 se incluyen en el corte.</t>
      </text>
    </comment>
    <comment authorId="0" ref="F14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">
      <text>
        <t xml:space="preserve">ID existente y único en Creditos.</t>
      </text>
    </comment>
    <comment authorId="0" ref="G144">
      <text>
        <t xml:space="preserve">Referencia de comprobante y explicación de la imputación.</t>
      </text>
    </comment>
    <comment authorId="0" ref="D12">
      <text>
        <t xml:space="preserve">Cuota específica a la que imputas el pago. Si una transferencia paga varias cuotas, distribúyela en filas separadas por cuota.</t>
      </text>
    </comment>
    <comment authorId="0" ref="H144">
      <text>
        <t xml:space="preserve">Revisar pago si faltan datos o la cuota/crédito no existe. Pagos futuros válidos quedan registrados pero excluidos al corte.</t>
      </text>
    </comment>
    <comment authorId="0" ref="E12">
      <text>
        <t xml:space="preserve">Fecha real. Solo pagos hasta Supuestos!D6 se incluyen en el corte.</t>
      </text>
    </comment>
    <comment authorId="0" ref="F1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">
      <text>
        <t xml:space="preserve">Referencia de comprobante y explicación de la imputación.</t>
      </text>
    </comment>
    <comment authorId="0" ref="H12">
      <text>
        <t xml:space="preserve">Revisar pago si faltan datos o la cuota/crédito no existe. Pagos futuros válidos quedan registrados pero excluidos al corte.</t>
      </text>
    </comment>
    <comment authorId="0" ref="C277">
      <text>
        <t xml:space="preserve">ID existente y único en Creditos.</t>
      </text>
    </comment>
    <comment authorId="0" ref="D277">
      <text>
        <t xml:space="preserve">Cuota específica a la que imputas el pago. Si una transferencia paga varias cuotas, distribúyela en filas separadas por cuota.</t>
      </text>
    </comment>
    <comment authorId="0" ref="E277">
      <text>
        <t xml:space="preserve">Fecha real. Solo pagos hasta Supuestos!D6 se incluyen en el corte.</t>
      </text>
    </comment>
    <comment authorId="0" ref="F27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5">
      <text>
        <t xml:space="preserve">ID existente y único en Creditos.</t>
      </text>
    </comment>
    <comment authorId="0" ref="G277">
      <text>
        <t xml:space="preserve">Referencia de comprobante y explicación de la imputación.</t>
      </text>
    </comment>
    <comment authorId="0" ref="D145">
      <text>
        <t xml:space="preserve">Cuota específica a la que imputas el pago. Si una transferencia paga varias cuotas, distribúyela en filas separadas por cuota.</t>
      </text>
    </comment>
    <comment authorId="0" ref="H277">
      <text>
        <t xml:space="preserve">Revisar pago si faltan datos o la cuota/crédito no existe. Pagos futuros válidos quedan registrados pero excluidos al corte.</t>
      </text>
    </comment>
    <comment authorId="0" ref="E145">
      <text>
        <t xml:space="preserve">Fecha real. Solo pagos hasta Supuestos!D6 se incluyen en el corte.</t>
      </text>
    </comment>
    <comment authorId="0" ref="F14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">
      <text>
        <t xml:space="preserve">ID existente y único en Creditos.</t>
      </text>
    </comment>
    <comment authorId="0" ref="G145">
      <text>
        <t xml:space="preserve">Referencia de comprobante y explicación de la imputación.</t>
      </text>
    </comment>
    <comment authorId="0" ref="D13">
      <text>
        <t xml:space="preserve">Cuota específica a la que imputas el pago. Si una transferencia paga varias cuotas, distribúyela en filas separadas por cuota.</t>
      </text>
    </comment>
    <comment authorId="0" ref="H145">
      <text>
        <t xml:space="preserve">Revisar pago si faltan datos o la cuota/crédito no existe. Pagos futuros válidos quedan registrados pero excluidos al corte.</t>
      </text>
    </comment>
    <comment authorId="0" ref="E13">
      <text>
        <t xml:space="preserve">Fecha real. Solo pagos hasta Supuestos!D6 se incluyen en el corte.</t>
      </text>
    </comment>
    <comment authorId="0" ref="F1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">
      <text>
        <t xml:space="preserve">Referencia de comprobante y explicación de la imputación.</t>
      </text>
    </comment>
    <comment authorId="0" ref="H13">
      <text>
        <t xml:space="preserve">Revisar pago si faltan datos o la cuota/crédito no existe. Pagos futuros válidos quedan registrados pero excluidos al corte.</t>
      </text>
    </comment>
    <comment authorId="0" ref="C278">
      <text>
        <t xml:space="preserve">ID existente y único en Creditos.</t>
      </text>
    </comment>
    <comment authorId="0" ref="D278">
      <text>
        <t xml:space="preserve">Cuota específica a la que imputas el pago. Si una transferencia paga varias cuotas, distribúyela en filas separadas por cuota.</t>
      </text>
    </comment>
    <comment authorId="0" ref="E278">
      <text>
        <t xml:space="preserve">Fecha real. Solo pagos hasta Supuestos!D6 se incluyen en el corte.</t>
      </text>
    </comment>
    <comment authorId="0" ref="F27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6">
      <text>
        <t xml:space="preserve">ID existente y único en Creditos.</t>
      </text>
    </comment>
    <comment authorId="0" ref="G278">
      <text>
        <t xml:space="preserve">Referencia de comprobante y explicación de la imputación.</t>
      </text>
    </comment>
    <comment authorId="0" ref="D146">
      <text>
        <t xml:space="preserve">Cuota específica a la que imputas el pago. Si una transferencia paga varias cuotas, distribúyela en filas separadas por cuota.</t>
      </text>
    </comment>
    <comment authorId="0" ref="H278">
      <text>
        <t xml:space="preserve">Revisar pago si faltan datos o la cuota/crédito no existe. Pagos futuros válidos quedan registrados pero excluidos al corte.</t>
      </text>
    </comment>
    <comment authorId="0" ref="E146">
      <text>
        <t xml:space="preserve">Fecha real. Solo pagos hasta Supuestos!D6 se incluyen en el corte.</t>
      </text>
    </comment>
    <comment authorId="0" ref="F14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">
      <text>
        <t xml:space="preserve">ID existente y único en Creditos.</t>
      </text>
    </comment>
    <comment authorId="0" ref="G146">
      <text>
        <t xml:space="preserve">Referencia de comprobante y explicación de la imputación.</t>
      </text>
    </comment>
    <comment authorId="0" ref="D14">
      <text>
        <t xml:space="preserve">Cuota específica a la que imputas el pago. Si una transferencia paga varias cuotas, distribúyela en filas separadas por cuota.</t>
      </text>
    </comment>
    <comment authorId="0" ref="H146">
      <text>
        <t xml:space="preserve">Revisar pago si faltan datos o la cuota/crédito no existe. Pagos futuros válidos quedan registrados pero excluidos al corte.</t>
      </text>
    </comment>
    <comment authorId="0" ref="E14">
      <text>
        <t xml:space="preserve">Fecha real. Solo pagos hasta Supuestos!D6 se incluyen en el corte.</t>
      </text>
    </comment>
    <comment authorId="0" ref="F1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4">
      <text>
        <t xml:space="preserve">Referencia de comprobante y explicación de la imputación.</t>
      </text>
    </comment>
    <comment authorId="0" ref="H14">
      <text>
        <t xml:space="preserve">Revisar pago si faltan datos o la cuota/crédito no existe. Pagos futuros válidos quedan registrados pero excluidos al corte.</t>
      </text>
    </comment>
    <comment authorId="0" ref="C279">
      <text>
        <t xml:space="preserve">ID existente y único en Creditos.</t>
      </text>
    </comment>
    <comment authorId="0" ref="D279">
      <text>
        <t xml:space="preserve">Cuota específica a la que imputas el pago. Si una transferencia paga varias cuotas, distribúyela en filas separadas por cuota.</t>
      </text>
    </comment>
    <comment authorId="0" ref="E279">
      <text>
        <t xml:space="preserve">Fecha real. Solo pagos hasta Supuestos!D6 se incluyen en el corte.</t>
      </text>
    </comment>
    <comment authorId="0" ref="F27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7">
      <text>
        <t xml:space="preserve">ID existente y único en Creditos.</t>
      </text>
    </comment>
    <comment authorId="0" ref="G279">
      <text>
        <t xml:space="preserve">Referencia de comprobante y explicación de la imputación.</t>
      </text>
    </comment>
    <comment authorId="0" ref="D147">
      <text>
        <t xml:space="preserve">Cuota específica a la que imputas el pago. Si una transferencia paga varias cuotas, distribúyela en filas separadas por cuota.</t>
      </text>
    </comment>
    <comment authorId="0" ref="H279">
      <text>
        <t xml:space="preserve">Revisar pago si faltan datos o la cuota/crédito no existe. Pagos futuros válidos quedan registrados pero excluidos al corte.</t>
      </text>
    </comment>
    <comment authorId="0" ref="E147">
      <text>
        <t xml:space="preserve">Fecha real. Solo pagos hasta Supuestos!D6 se incluyen en el corte.</t>
      </text>
    </comment>
    <comment authorId="0" ref="F14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">
      <text>
        <t xml:space="preserve">ID existente y único en Creditos.</t>
      </text>
    </comment>
    <comment authorId="0" ref="G147">
      <text>
        <t xml:space="preserve">Referencia de comprobante y explicación de la imputación.</t>
      </text>
    </comment>
    <comment authorId="0" ref="D15">
      <text>
        <t xml:space="preserve">Cuota específica a la que imputas el pago. Si una transferencia paga varias cuotas, distribúyela en filas separadas por cuota.</t>
      </text>
    </comment>
    <comment authorId="0" ref="H147">
      <text>
        <t xml:space="preserve">Revisar pago si faltan datos o la cuota/crédito no existe. Pagos futuros válidos quedan registrados pero excluidos al corte.</t>
      </text>
    </comment>
    <comment authorId="0" ref="E15">
      <text>
        <t xml:space="preserve">Fecha real. Solo pagos hasta Supuestos!D6 se incluyen en el corte.</t>
      </text>
    </comment>
    <comment authorId="0" ref="F1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5">
      <text>
        <t xml:space="preserve">Referencia de comprobante y explicación de la imputación.</t>
      </text>
    </comment>
    <comment authorId="0" ref="H15">
      <text>
        <t xml:space="preserve">Revisar pago si faltan datos o la cuota/crédito no existe. Pagos futuros válidos quedan registrados pero excluidos al corte.</t>
      </text>
    </comment>
    <comment authorId="0" ref="C280">
      <text>
        <t xml:space="preserve">ID existente y único en Creditos.</t>
      </text>
    </comment>
    <comment authorId="0" ref="D280">
      <text>
        <t xml:space="preserve">Cuota específica a la que imputas el pago. Si una transferencia paga varias cuotas, distribúyela en filas separadas por cuota.</t>
      </text>
    </comment>
    <comment authorId="0" ref="E280">
      <text>
        <t xml:space="preserve">Fecha real. Solo pagos hasta Supuestos!D6 se incluyen en el corte.</t>
      </text>
    </comment>
    <comment authorId="0" ref="F28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8">
      <text>
        <t xml:space="preserve">ID existente y único en Creditos.</t>
      </text>
    </comment>
    <comment authorId="0" ref="G280">
      <text>
        <t xml:space="preserve">Referencia de comprobante y explicación de la imputación.</t>
      </text>
    </comment>
    <comment authorId="0" ref="D148">
      <text>
        <t xml:space="preserve">Cuota específica a la que imputas el pago. Si una transferencia paga varias cuotas, distribúyela en filas separadas por cuota.</t>
      </text>
    </comment>
    <comment authorId="0" ref="H280">
      <text>
        <t xml:space="preserve">Revisar pago si faltan datos o la cuota/crédito no existe. Pagos futuros válidos quedan registrados pero excluidos al corte.</t>
      </text>
    </comment>
    <comment authorId="0" ref="E148">
      <text>
        <t xml:space="preserve">Fecha real. Solo pagos hasta Supuestos!D6 se incluyen en el corte.</t>
      </text>
    </comment>
    <comment authorId="0" ref="F14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">
      <text>
        <t xml:space="preserve">ID existente y único en Creditos.</t>
      </text>
    </comment>
    <comment authorId="0" ref="G148">
      <text>
        <t xml:space="preserve">Referencia de comprobante y explicación de la imputación.</t>
      </text>
    </comment>
    <comment authorId="0" ref="D16">
      <text>
        <t xml:space="preserve">Cuota específica a la que imputas el pago. Si una transferencia paga varias cuotas, distribúyela en filas separadas por cuota.</t>
      </text>
    </comment>
    <comment authorId="0" ref="H148">
      <text>
        <t xml:space="preserve">Revisar pago si faltan datos o la cuota/crédito no existe. Pagos futuros válidos quedan registrados pero excluidos al corte.</t>
      </text>
    </comment>
    <comment authorId="0" ref="E16">
      <text>
        <t xml:space="preserve">Fecha real. Solo pagos hasta Supuestos!D6 se incluyen en el corte.</t>
      </text>
    </comment>
    <comment authorId="0" ref="F1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6">
      <text>
        <t xml:space="preserve">Referencia de comprobante y explicación de la imputación.</t>
      </text>
    </comment>
    <comment authorId="0" ref="H16">
      <text>
        <t xml:space="preserve">Revisar pago si faltan datos o la cuota/crédito no existe. Pagos futuros válidos quedan registrados pero excluidos al corte.</t>
      </text>
    </comment>
    <comment authorId="0" ref="C281">
      <text>
        <t xml:space="preserve">ID existente y único en Creditos.</t>
      </text>
    </comment>
    <comment authorId="0" ref="D281">
      <text>
        <t xml:space="preserve">Cuota específica a la que imputas el pago. Si una transferencia paga varias cuotas, distribúyela en filas separadas por cuota.</t>
      </text>
    </comment>
    <comment authorId="0" ref="E281">
      <text>
        <t xml:space="preserve">Fecha real. Solo pagos hasta Supuestos!D6 se incluyen en el corte.</t>
      </text>
    </comment>
    <comment authorId="0" ref="F28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49">
      <text>
        <t xml:space="preserve">ID existente y único en Creditos.</t>
      </text>
    </comment>
    <comment authorId="0" ref="G281">
      <text>
        <t xml:space="preserve">Referencia de comprobante y explicación de la imputación.</t>
      </text>
    </comment>
    <comment authorId="0" ref="D149">
      <text>
        <t xml:space="preserve">Cuota específica a la que imputas el pago. Si una transferencia paga varias cuotas, distribúyela en filas separadas por cuota.</t>
      </text>
    </comment>
    <comment authorId="0" ref="H281">
      <text>
        <t xml:space="preserve">Revisar pago si faltan datos o la cuota/crédito no existe. Pagos futuros válidos quedan registrados pero excluidos al corte.</t>
      </text>
    </comment>
    <comment authorId="0" ref="E149">
      <text>
        <t xml:space="preserve">Fecha real. Solo pagos hasta Supuestos!D6 se incluyen en el corte.</t>
      </text>
    </comment>
    <comment authorId="0" ref="F14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7">
      <text>
        <t xml:space="preserve">ID existente y único en Creditos.</t>
      </text>
    </comment>
    <comment authorId="0" ref="G149">
      <text>
        <t xml:space="preserve">Referencia de comprobante y explicación de la imputación.</t>
      </text>
    </comment>
    <comment authorId="0" ref="D17">
      <text>
        <t xml:space="preserve">Cuota específica a la que imputas el pago. Si una transferencia paga varias cuotas, distribúyela en filas separadas por cuota.</t>
      </text>
    </comment>
    <comment authorId="0" ref="H149">
      <text>
        <t xml:space="preserve">Revisar pago si faltan datos o la cuota/crédito no existe. Pagos futuros válidos quedan registrados pero excluidos al corte.</t>
      </text>
    </comment>
    <comment authorId="0" ref="E17">
      <text>
        <t xml:space="preserve">Fecha real. Solo pagos hasta Supuestos!D6 se incluyen en el corte.</t>
      </text>
    </comment>
    <comment authorId="0" ref="F1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7">
      <text>
        <t xml:space="preserve">Referencia de comprobante y explicación de la imputación.</t>
      </text>
    </comment>
    <comment authorId="0" ref="H17">
      <text>
        <t xml:space="preserve">Revisar pago si faltan datos o la cuota/crédito no existe. Pagos futuros válidos quedan registrados pero excluidos al corte.</t>
      </text>
    </comment>
    <comment authorId="0" ref="C282">
      <text>
        <t xml:space="preserve">ID existente y único en Creditos.</t>
      </text>
    </comment>
    <comment authorId="0" ref="D282">
      <text>
        <t xml:space="preserve">Cuota específica a la que imputas el pago. Si una transferencia paga varias cuotas, distribúyela en filas separadas por cuota.</t>
      </text>
    </comment>
    <comment authorId="0" ref="E282">
      <text>
        <t xml:space="preserve">Fecha real. Solo pagos hasta Supuestos!D6 se incluyen en el corte.</t>
      </text>
    </comment>
    <comment authorId="0" ref="F28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0">
      <text>
        <t xml:space="preserve">ID existente y único en Creditos.</t>
      </text>
    </comment>
    <comment authorId="0" ref="G282">
      <text>
        <t xml:space="preserve">Referencia de comprobante y explicación de la imputación.</t>
      </text>
    </comment>
    <comment authorId="0" ref="D150">
      <text>
        <t xml:space="preserve">Cuota específica a la que imputas el pago. Si una transferencia paga varias cuotas, distribúyela en filas separadas por cuota.</t>
      </text>
    </comment>
    <comment authorId="0" ref="H282">
      <text>
        <t xml:space="preserve">Revisar pago si faltan datos o la cuota/crédito no existe. Pagos futuros válidos quedan registrados pero excluidos al corte.</t>
      </text>
    </comment>
    <comment authorId="0" ref="E150">
      <text>
        <t xml:space="preserve">Fecha real. Solo pagos hasta Supuestos!D6 se incluyen en el corte.</t>
      </text>
    </comment>
    <comment authorId="0" ref="F15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8">
      <text>
        <t xml:space="preserve">ID existente y único en Creditos.</t>
      </text>
    </comment>
    <comment authorId="0" ref="G150">
      <text>
        <t xml:space="preserve">Referencia de comprobante y explicación de la imputación.</t>
      </text>
    </comment>
    <comment authorId="0" ref="D18">
      <text>
        <t xml:space="preserve">Cuota específica a la que imputas el pago. Si una transferencia paga varias cuotas, distribúyela en filas separadas por cuota.</t>
      </text>
    </comment>
    <comment authorId="0" ref="H150">
      <text>
        <t xml:space="preserve">Revisar pago si faltan datos o la cuota/crédito no existe. Pagos futuros válidos quedan registrados pero excluidos al corte.</t>
      </text>
    </comment>
    <comment authorId="0" ref="E18">
      <text>
        <t xml:space="preserve">Fecha real. Solo pagos hasta Supuestos!D6 se incluyen en el corte.</t>
      </text>
    </comment>
    <comment authorId="0" ref="F1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8">
      <text>
        <t xml:space="preserve">Referencia de comprobante y explicación de la imputación.</t>
      </text>
    </comment>
    <comment authorId="0" ref="H18">
      <text>
        <t xml:space="preserve">Revisar pago si faltan datos o la cuota/crédito no existe. Pagos futuros válidos quedan registrados pero excluidos al corte.</t>
      </text>
    </comment>
    <comment authorId="0" ref="C283">
      <text>
        <t xml:space="preserve">ID existente y único en Creditos.</t>
      </text>
    </comment>
    <comment authorId="0" ref="D283">
      <text>
        <t xml:space="preserve">Cuota específica a la que imputas el pago. Si una transferencia paga varias cuotas, distribúyela en filas separadas por cuota.</t>
      </text>
    </comment>
    <comment authorId="0" ref="E283">
      <text>
        <t xml:space="preserve">Fecha real. Solo pagos hasta Supuestos!D6 se incluyen en el corte.</t>
      </text>
    </comment>
    <comment authorId="0" ref="F28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1">
      <text>
        <t xml:space="preserve">ID existente y único en Creditos.</t>
      </text>
    </comment>
    <comment authorId="0" ref="G283">
      <text>
        <t xml:space="preserve">Referencia de comprobante y explicación de la imputación.</t>
      </text>
    </comment>
    <comment authorId="0" ref="D151">
      <text>
        <t xml:space="preserve">Cuota específica a la que imputas el pago. Si una transferencia paga varias cuotas, distribúyela en filas separadas por cuota.</t>
      </text>
    </comment>
    <comment authorId="0" ref="H283">
      <text>
        <t xml:space="preserve">Revisar pago si faltan datos o la cuota/crédito no existe. Pagos futuros válidos quedan registrados pero excluidos al corte.</t>
      </text>
    </comment>
    <comment authorId="0" ref="E151">
      <text>
        <t xml:space="preserve">Fecha real. Solo pagos hasta Supuestos!D6 se incluyen en el corte.</t>
      </text>
    </comment>
    <comment authorId="0" ref="F15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9">
      <text>
        <t xml:space="preserve">ID existente y único en Creditos.</t>
      </text>
    </comment>
    <comment authorId="0" ref="G151">
      <text>
        <t xml:space="preserve">Referencia de comprobante y explicación de la imputación.</t>
      </text>
    </comment>
    <comment authorId="0" ref="D19">
      <text>
        <t xml:space="preserve">Cuota específica a la que imputas el pago. Si una transferencia paga varias cuotas, distribúyela en filas separadas por cuota.</t>
      </text>
    </comment>
    <comment authorId="0" ref="H151">
      <text>
        <t xml:space="preserve">Revisar pago si faltan datos o la cuota/crédito no existe. Pagos futuros válidos quedan registrados pero excluidos al corte.</t>
      </text>
    </comment>
    <comment authorId="0" ref="E19">
      <text>
        <t xml:space="preserve">Fecha real. Solo pagos hasta Supuestos!D6 se incluyen en el corte.</t>
      </text>
    </comment>
    <comment authorId="0" ref="F1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9">
      <text>
        <t xml:space="preserve">Referencia de comprobante y explicación de la imputación.</t>
      </text>
    </comment>
    <comment authorId="0" ref="H19">
      <text>
        <t xml:space="preserve">Revisar pago si faltan datos o la cuota/crédito no existe. Pagos futuros válidos quedan registrados pero excluidos al corte.</t>
      </text>
    </comment>
    <comment authorId="0" ref="C284">
      <text>
        <t xml:space="preserve">ID existente y único en Creditos.</t>
      </text>
    </comment>
    <comment authorId="0" ref="D284">
      <text>
        <t xml:space="preserve">Cuota específica a la que imputas el pago. Si una transferencia paga varias cuotas, distribúyela en filas separadas por cuota.</t>
      </text>
    </comment>
    <comment authorId="0" ref="E284">
      <text>
        <t xml:space="preserve">Fecha real. Solo pagos hasta Supuestos!D6 se incluyen en el corte.</t>
      </text>
    </comment>
    <comment authorId="0" ref="F28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2">
      <text>
        <t xml:space="preserve">ID existente y único en Creditos.</t>
      </text>
    </comment>
    <comment authorId="0" ref="G284">
      <text>
        <t xml:space="preserve">Referencia de comprobante y explicación de la imputación.</t>
      </text>
    </comment>
    <comment authorId="0" ref="D152">
      <text>
        <t xml:space="preserve">Cuota específica a la que imputas el pago. Si una transferencia paga varias cuotas, distribúyela en filas separadas por cuota.</t>
      </text>
    </comment>
    <comment authorId="0" ref="H284">
      <text>
        <t xml:space="preserve">Revisar pago si faltan datos o la cuota/crédito no existe. Pagos futuros válidos quedan registrados pero excluidos al corte.</t>
      </text>
    </comment>
    <comment authorId="0" ref="E152">
      <text>
        <t xml:space="preserve">Fecha real. Solo pagos hasta Supuestos!D6 se incluyen en el corte.</t>
      </text>
    </comment>
    <comment authorId="0" ref="F15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0">
      <text>
        <t xml:space="preserve">ID existente y único en Creditos.</t>
      </text>
    </comment>
    <comment authorId="0" ref="G152">
      <text>
        <t xml:space="preserve">Referencia de comprobante y explicación de la imputación.</t>
      </text>
    </comment>
    <comment authorId="0" ref="D20">
      <text>
        <t xml:space="preserve">Cuota específica a la que imputas el pago. Si una transferencia paga varias cuotas, distribúyela en filas separadas por cuota.</t>
      </text>
    </comment>
    <comment authorId="0" ref="H152">
      <text>
        <t xml:space="preserve">Revisar pago si faltan datos o la cuota/crédito no existe. Pagos futuros válidos quedan registrados pero excluidos al corte.</t>
      </text>
    </comment>
    <comment authorId="0" ref="E20">
      <text>
        <t xml:space="preserve">Fecha real. Solo pagos hasta Supuestos!D6 se incluyen en el corte.</t>
      </text>
    </comment>
    <comment authorId="0" ref="F2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0">
      <text>
        <t xml:space="preserve">Referencia de comprobante y explicación de la imputación.</t>
      </text>
    </comment>
    <comment authorId="0" ref="H20">
      <text>
        <t xml:space="preserve">Revisar pago si faltan datos o la cuota/crédito no existe. Pagos futuros válidos quedan registrados pero excluidos al corte.</t>
      </text>
    </comment>
    <comment authorId="0" ref="C285">
      <text>
        <t xml:space="preserve">ID existente y único en Creditos.</t>
      </text>
    </comment>
    <comment authorId="0" ref="D285">
      <text>
        <t xml:space="preserve">Cuota específica a la que imputas el pago. Si una transferencia paga varias cuotas, distribúyela en filas separadas por cuota.</t>
      </text>
    </comment>
    <comment authorId="0" ref="E285">
      <text>
        <t xml:space="preserve">Fecha real. Solo pagos hasta Supuestos!D6 se incluyen en el corte.</t>
      </text>
    </comment>
    <comment authorId="0" ref="F28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3">
      <text>
        <t xml:space="preserve">ID existente y único en Creditos.</t>
      </text>
    </comment>
    <comment authorId="0" ref="G285">
      <text>
        <t xml:space="preserve">Referencia de comprobante y explicación de la imputación.</t>
      </text>
    </comment>
    <comment authorId="0" ref="D153">
      <text>
        <t xml:space="preserve">Cuota específica a la que imputas el pago. Si una transferencia paga varias cuotas, distribúyela en filas separadas por cuota.</t>
      </text>
    </comment>
    <comment authorId="0" ref="H285">
      <text>
        <t xml:space="preserve">Revisar pago si faltan datos o la cuota/crédito no existe. Pagos futuros válidos quedan registrados pero excluidos al corte.</t>
      </text>
    </comment>
    <comment authorId="0" ref="E153">
      <text>
        <t xml:space="preserve">Fecha real. Solo pagos hasta Supuestos!D6 se incluyen en el corte.</t>
      </text>
    </comment>
    <comment authorId="0" ref="F15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1">
      <text>
        <t xml:space="preserve">ID existente y único en Creditos.</t>
      </text>
    </comment>
    <comment authorId="0" ref="G153">
      <text>
        <t xml:space="preserve">Referencia de comprobante y explicación de la imputación.</t>
      </text>
    </comment>
    <comment authorId="0" ref="D21">
      <text>
        <t xml:space="preserve">Cuota específica a la que imputas el pago. Si una transferencia paga varias cuotas, distribúyela en filas separadas por cuota.</t>
      </text>
    </comment>
    <comment authorId="0" ref="H153">
      <text>
        <t xml:space="preserve">Revisar pago si faltan datos o la cuota/crédito no existe. Pagos futuros válidos quedan registrados pero excluidos al corte.</t>
      </text>
    </comment>
    <comment authorId="0" ref="E21">
      <text>
        <t xml:space="preserve">Fecha real. Solo pagos hasta Supuestos!D6 se incluyen en el corte.</t>
      </text>
    </comment>
    <comment authorId="0" ref="F2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1">
      <text>
        <t xml:space="preserve">Referencia de comprobante y explicación de la imputación.</t>
      </text>
    </comment>
    <comment authorId="0" ref="H21">
      <text>
        <t xml:space="preserve">Revisar pago si faltan datos o la cuota/crédito no existe. Pagos futuros válidos quedan registrados pero excluidos al corte.</t>
      </text>
    </comment>
    <comment authorId="0" ref="C286">
      <text>
        <t xml:space="preserve">ID existente y único en Creditos.</t>
      </text>
    </comment>
    <comment authorId="0" ref="D286">
      <text>
        <t xml:space="preserve">Cuota específica a la que imputas el pago. Si una transferencia paga varias cuotas, distribúyela en filas separadas por cuota.</t>
      </text>
    </comment>
    <comment authorId="0" ref="E286">
      <text>
        <t xml:space="preserve">Fecha real. Solo pagos hasta Supuestos!D6 se incluyen en el corte.</t>
      </text>
    </comment>
    <comment authorId="0" ref="F28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4">
      <text>
        <t xml:space="preserve">ID existente y único en Creditos.</t>
      </text>
    </comment>
    <comment authorId="0" ref="G286">
      <text>
        <t xml:space="preserve">Referencia de comprobante y explicación de la imputación.</t>
      </text>
    </comment>
    <comment authorId="0" ref="D154">
      <text>
        <t xml:space="preserve">Cuota específica a la que imputas el pago. Si una transferencia paga varias cuotas, distribúyela en filas separadas por cuota.</t>
      </text>
    </comment>
    <comment authorId="0" ref="H286">
      <text>
        <t xml:space="preserve">Revisar pago si faltan datos o la cuota/crédito no existe. Pagos futuros válidos quedan registrados pero excluidos al corte.</t>
      </text>
    </comment>
    <comment authorId="0" ref="E154">
      <text>
        <t xml:space="preserve">Fecha real. Solo pagos hasta Supuestos!D6 se incluyen en el corte.</t>
      </text>
    </comment>
    <comment authorId="0" ref="F15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2">
      <text>
        <t xml:space="preserve">ID existente y único en Creditos.</t>
      </text>
    </comment>
    <comment authorId="0" ref="G154">
      <text>
        <t xml:space="preserve">Referencia de comprobante y explicación de la imputación.</t>
      </text>
    </comment>
    <comment authorId="0" ref="D22">
      <text>
        <t xml:space="preserve">Cuota específica a la que imputas el pago. Si una transferencia paga varias cuotas, distribúyela en filas separadas por cuota.</t>
      </text>
    </comment>
    <comment authorId="0" ref="H154">
      <text>
        <t xml:space="preserve">Revisar pago si faltan datos o la cuota/crédito no existe. Pagos futuros válidos quedan registrados pero excluidos al corte.</t>
      </text>
    </comment>
    <comment authorId="0" ref="E22">
      <text>
        <t xml:space="preserve">Fecha real. Solo pagos hasta Supuestos!D6 se incluyen en el corte.</t>
      </text>
    </comment>
    <comment authorId="0" ref="F2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2">
      <text>
        <t xml:space="preserve">Referencia de comprobante y explicación de la imputación.</t>
      </text>
    </comment>
    <comment authorId="0" ref="H22">
      <text>
        <t xml:space="preserve">Revisar pago si faltan datos o la cuota/crédito no existe. Pagos futuros válidos quedan registrados pero excluidos al corte.</t>
      </text>
    </comment>
    <comment authorId="0" ref="C287">
      <text>
        <t xml:space="preserve">ID existente y único en Creditos.</t>
      </text>
    </comment>
    <comment authorId="0" ref="D287">
      <text>
        <t xml:space="preserve">Cuota específica a la que imputas el pago. Si una transferencia paga varias cuotas, distribúyela en filas separadas por cuota.</t>
      </text>
    </comment>
    <comment authorId="0" ref="E287">
      <text>
        <t xml:space="preserve">Fecha real. Solo pagos hasta Supuestos!D6 se incluyen en el corte.</t>
      </text>
    </comment>
    <comment authorId="0" ref="F28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5">
      <text>
        <t xml:space="preserve">ID existente y único en Creditos.</t>
      </text>
    </comment>
    <comment authorId="0" ref="G287">
      <text>
        <t xml:space="preserve">Referencia de comprobante y explicación de la imputación.</t>
      </text>
    </comment>
    <comment authorId="0" ref="D155">
      <text>
        <t xml:space="preserve">Cuota específica a la que imputas el pago. Si una transferencia paga varias cuotas, distribúyela en filas separadas por cuota.</t>
      </text>
    </comment>
    <comment authorId="0" ref="H287">
      <text>
        <t xml:space="preserve">Revisar pago si faltan datos o la cuota/crédito no existe. Pagos futuros válidos quedan registrados pero excluidos al corte.</t>
      </text>
    </comment>
    <comment authorId="0" ref="E155">
      <text>
        <t xml:space="preserve">Fecha real. Solo pagos hasta Supuestos!D6 se incluyen en el corte.</t>
      </text>
    </comment>
    <comment authorId="0" ref="F15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3">
      <text>
        <t xml:space="preserve">ID existente y único en Creditos.</t>
      </text>
    </comment>
    <comment authorId="0" ref="G155">
      <text>
        <t xml:space="preserve">Referencia de comprobante y explicación de la imputación.</t>
      </text>
    </comment>
    <comment authorId="0" ref="D23">
      <text>
        <t xml:space="preserve">Cuota específica a la que imputas el pago. Si una transferencia paga varias cuotas, distribúyela en filas separadas por cuota.</t>
      </text>
    </comment>
    <comment authorId="0" ref="H155">
      <text>
        <t xml:space="preserve">Revisar pago si faltan datos o la cuota/crédito no existe. Pagos futuros válidos quedan registrados pero excluidos al corte.</t>
      </text>
    </comment>
    <comment authorId="0" ref="E23">
      <text>
        <t xml:space="preserve">Fecha real. Solo pagos hasta Supuestos!D6 se incluyen en el corte.</t>
      </text>
    </comment>
    <comment authorId="0" ref="F2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3">
      <text>
        <t xml:space="preserve">Referencia de comprobante y explicación de la imputación.</t>
      </text>
    </comment>
    <comment authorId="0" ref="H23">
      <text>
        <t xml:space="preserve">Revisar pago si faltan datos o la cuota/crédito no existe. Pagos futuros válidos quedan registrados pero excluidos al corte.</t>
      </text>
    </comment>
    <comment authorId="0" ref="C288">
      <text>
        <t xml:space="preserve">ID existente y único en Creditos.</t>
      </text>
    </comment>
    <comment authorId="0" ref="D288">
      <text>
        <t xml:space="preserve">Cuota específica a la que imputas el pago. Si una transferencia paga varias cuotas, distribúyela en filas separadas por cuota.</t>
      </text>
    </comment>
    <comment authorId="0" ref="E288">
      <text>
        <t xml:space="preserve">Fecha real. Solo pagos hasta Supuestos!D6 se incluyen en el corte.</t>
      </text>
    </comment>
    <comment authorId="0" ref="F28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6">
      <text>
        <t xml:space="preserve">ID existente y único en Creditos.</t>
      </text>
    </comment>
    <comment authorId="0" ref="G288">
      <text>
        <t xml:space="preserve">Referencia de comprobante y explicación de la imputación.</t>
      </text>
    </comment>
    <comment authorId="0" ref="D156">
      <text>
        <t xml:space="preserve">Cuota específica a la que imputas el pago. Si una transferencia paga varias cuotas, distribúyela en filas separadas por cuota.</t>
      </text>
    </comment>
    <comment authorId="0" ref="H288">
      <text>
        <t xml:space="preserve">Revisar pago si faltan datos o la cuota/crédito no existe. Pagos futuros válidos quedan registrados pero excluidos al corte.</t>
      </text>
    </comment>
    <comment authorId="0" ref="E156">
      <text>
        <t xml:space="preserve">Fecha real. Solo pagos hasta Supuestos!D6 se incluyen en el corte.</t>
      </text>
    </comment>
    <comment authorId="0" ref="F15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4">
      <text>
        <t xml:space="preserve">ID existente y único en Creditos.</t>
      </text>
    </comment>
    <comment authorId="0" ref="G156">
      <text>
        <t xml:space="preserve">Referencia de comprobante y explicación de la imputación.</t>
      </text>
    </comment>
    <comment authorId="0" ref="D24">
      <text>
        <t xml:space="preserve">Cuota específica a la que imputas el pago. Si una transferencia paga varias cuotas, distribúyela en filas separadas por cuota.</t>
      </text>
    </comment>
    <comment authorId="0" ref="H156">
      <text>
        <t xml:space="preserve">Revisar pago si faltan datos o la cuota/crédito no existe. Pagos futuros válidos quedan registrados pero excluidos al corte.</t>
      </text>
    </comment>
    <comment authorId="0" ref="E24">
      <text>
        <t xml:space="preserve">Fecha real. Solo pagos hasta Supuestos!D6 se incluyen en el corte.</t>
      </text>
    </comment>
    <comment authorId="0" ref="F2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4">
      <text>
        <t xml:space="preserve">Referencia de comprobante y explicación de la imputación.</t>
      </text>
    </comment>
    <comment authorId="0" ref="H24">
      <text>
        <t xml:space="preserve">Revisar pago si faltan datos o la cuota/crédito no existe. Pagos futuros válidos quedan registrados pero excluidos al corte.</t>
      </text>
    </comment>
    <comment authorId="0" ref="C289">
      <text>
        <t xml:space="preserve">ID existente y único en Creditos.</t>
      </text>
    </comment>
    <comment authorId="0" ref="D289">
      <text>
        <t xml:space="preserve">Cuota específica a la que imputas el pago. Si una transferencia paga varias cuotas, distribúyela en filas separadas por cuota.</t>
      </text>
    </comment>
    <comment authorId="0" ref="E289">
      <text>
        <t xml:space="preserve">Fecha real. Solo pagos hasta Supuestos!D6 se incluyen en el corte.</t>
      </text>
    </comment>
    <comment authorId="0" ref="F28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7">
      <text>
        <t xml:space="preserve">ID existente y único en Creditos.</t>
      </text>
    </comment>
    <comment authorId="0" ref="G289">
      <text>
        <t xml:space="preserve">Referencia de comprobante y explicación de la imputación.</t>
      </text>
    </comment>
    <comment authorId="0" ref="D157">
      <text>
        <t xml:space="preserve">Cuota específica a la que imputas el pago. Si una transferencia paga varias cuotas, distribúyela en filas separadas por cuota.</t>
      </text>
    </comment>
    <comment authorId="0" ref="H289">
      <text>
        <t xml:space="preserve">Revisar pago si faltan datos o la cuota/crédito no existe. Pagos futuros válidos quedan registrados pero excluidos al corte.</t>
      </text>
    </comment>
    <comment authorId="0" ref="E157">
      <text>
        <t xml:space="preserve">Fecha real. Solo pagos hasta Supuestos!D6 se incluyen en el corte.</t>
      </text>
    </comment>
    <comment authorId="0" ref="F15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5">
      <text>
        <t xml:space="preserve">ID existente y único en Creditos.</t>
      </text>
    </comment>
    <comment authorId="0" ref="G157">
      <text>
        <t xml:space="preserve">Referencia de comprobante y explicación de la imputación.</t>
      </text>
    </comment>
    <comment authorId="0" ref="D25">
      <text>
        <t xml:space="preserve">Cuota específica a la que imputas el pago. Si una transferencia paga varias cuotas, distribúyela en filas separadas por cuota.</t>
      </text>
    </comment>
    <comment authorId="0" ref="H157">
      <text>
        <t xml:space="preserve">Revisar pago si faltan datos o la cuota/crédito no existe. Pagos futuros válidos quedan registrados pero excluidos al corte.</t>
      </text>
    </comment>
    <comment authorId="0" ref="E25">
      <text>
        <t xml:space="preserve">Fecha real. Solo pagos hasta Supuestos!D6 se incluyen en el corte.</t>
      </text>
    </comment>
    <comment authorId="0" ref="F2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5">
      <text>
        <t xml:space="preserve">Referencia de comprobante y explicación de la imputación.</t>
      </text>
    </comment>
    <comment authorId="0" ref="H25">
      <text>
        <t xml:space="preserve">Revisar pago si faltan datos o la cuota/crédito no existe. Pagos futuros válidos quedan registrados pero excluidos al corte.</t>
      </text>
    </comment>
    <comment authorId="0" ref="C290">
      <text>
        <t xml:space="preserve">ID existente y único en Creditos.</t>
      </text>
    </comment>
    <comment authorId="0" ref="D290">
      <text>
        <t xml:space="preserve">Cuota específica a la que imputas el pago. Si una transferencia paga varias cuotas, distribúyela en filas separadas por cuota.</t>
      </text>
    </comment>
    <comment authorId="0" ref="E290">
      <text>
        <t xml:space="preserve">Fecha real. Solo pagos hasta Supuestos!D6 se incluyen en el corte.</t>
      </text>
    </comment>
    <comment authorId="0" ref="F29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8">
      <text>
        <t xml:space="preserve">ID existente y único en Creditos.</t>
      </text>
    </comment>
    <comment authorId="0" ref="G290">
      <text>
        <t xml:space="preserve">Referencia de comprobante y explicación de la imputación.</t>
      </text>
    </comment>
    <comment authorId="0" ref="D158">
      <text>
        <t xml:space="preserve">Cuota específica a la que imputas el pago. Si una transferencia paga varias cuotas, distribúyela en filas separadas por cuota.</t>
      </text>
    </comment>
    <comment authorId="0" ref="H290">
      <text>
        <t xml:space="preserve">Revisar pago si faltan datos o la cuota/crédito no existe. Pagos futuros válidos quedan registrados pero excluidos al corte.</t>
      </text>
    </comment>
    <comment authorId="0" ref="E158">
      <text>
        <t xml:space="preserve">Fecha real. Solo pagos hasta Supuestos!D6 se incluyen en el corte.</t>
      </text>
    </comment>
    <comment authorId="0" ref="F15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6">
      <text>
        <t xml:space="preserve">ID existente y único en Creditos.</t>
      </text>
    </comment>
    <comment authorId="0" ref="G158">
      <text>
        <t xml:space="preserve">Referencia de comprobante y explicación de la imputación.</t>
      </text>
    </comment>
    <comment authorId="0" ref="D26">
      <text>
        <t xml:space="preserve">Cuota específica a la que imputas el pago. Si una transferencia paga varias cuotas, distribúyela en filas separadas por cuota.</t>
      </text>
    </comment>
    <comment authorId="0" ref="H158">
      <text>
        <t xml:space="preserve">Revisar pago si faltan datos o la cuota/crédito no existe. Pagos futuros válidos quedan registrados pero excluidos al corte.</t>
      </text>
    </comment>
    <comment authorId="0" ref="E26">
      <text>
        <t xml:space="preserve">Fecha real. Solo pagos hasta Supuestos!D6 se incluyen en el corte.</t>
      </text>
    </comment>
    <comment authorId="0" ref="F2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6">
      <text>
        <t xml:space="preserve">Referencia de comprobante y explicación de la imputación.</t>
      </text>
    </comment>
    <comment authorId="0" ref="H26">
      <text>
        <t xml:space="preserve">Revisar pago si faltan datos o la cuota/crédito no existe. Pagos futuros válidos quedan registrados pero excluidos al corte.</t>
      </text>
    </comment>
    <comment authorId="0" ref="C291">
      <text>
        <t xml:space="preserve">ID existente y único en Creditos.</t>
      </text>
    </comment>
    <comment authorId="0" ref="D291">
      <text>
        <t xml:space="preserve">Cuota específica a la que imputas el pago. Si una transferencia paga varias cuotas, distribúyela en filas separadas por cuota.</t>
      </text>
    </comment>
    <comment authorId="0" ref="E291">
      <text>
        <t xml:space="preserve">Fecha real. Solo pagos hasta Supuestos!D6 se incluyen en el corte.</t>
      </text>
    </comment>
    <comment authorId="0" ref="F29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59">
      <text>
        <t xml:space="preserve">ID existente y único en Creditos.</t>
      </text>
    </comment>
    <comment authorId="0" ref="G291">
      <text>
        <t xml:space="preserve">Referencia de comprobante y explicación de la imputación.</t>
      </text>
    </comment>
    <comment authorId="0" ref="D159">
      <text>
        <t xml:space="preserve">Cuota específica a la que imputas el pago. Si una transferencia paga varias cuotas, distribúyela en filas separadas por cuota.</t>
      </text>
    </comment>
    <comment authorId="0" ref="H291">
      <text>
        <t xml:space="preserve">Revisar pago si faltan datos o la cuota/crédito no existe. Pagos futuros válidos quedan registrados pero excluidos al corte.</t>
      </text>
    </comment>
    <comment authorId="0" ref="E159">
      <text>
        <t xml:space="preserve">Fecha real. Solo pagos hasta Supuestos!D6 se incluyen en el corte.</t>
      </text>
    </comment>
    <comment authorId="0" ref="F15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7">
      <text>
        <t xml:space="preserve">ID existente y único en Creditos.</t>
      </text>
    </comment>
    <comment authorId="0" ref="G159">
      <text>
        <t xml:space="preserve">Referencia de comprobante y explicación de la imputación.</t>
      </text>
    </comment>
    <comment authorId="0" ref="D27">
      <text>
        <t xml:space="preserve">Cuota específica a la que imputas el pago. Si una transferencia paga varias cuotas, distribúyela en filas separadas por cuota.</t>
      </text>
    </comment>
    <comment authorId="0" ref="H159">
      <text>
        <t xml:space="preserve">Revisar pago si faltan datos o la cuota/crédito no existe. Pagos futuros válidos quedan registrados pero excluidos al corte.</t>
      </text>
    </comment>
    <comment authorId="0" ref="E27">
      <text>
        <t xml:space="preserve">Fecha real. Solo pagos hasta Supuestos!D6 se incluyen en el corte.</t>
      </text>
    </comment>
    <comment authorId="0" ref="F2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7">
      <text>
        <t xml:space="preserve">Referencia de comprobante y explicación de la imputación.</t>
      </text>
    </comment>
    <comment authorId="0" ref="H27">
      <text>
        <t xml:space="preserve">Revisar pago si faltan datos o la cuota/crédito no existe. Pagos futuros válidos quedan registrados pero excluidos al corte.</t>
      </text>
    </comment>
    <comment authorId="0" ref="C292">
      <text>
        <t xml:space="preserve">ID existente y único en Creditos.</t>
      </text>
    </comment>
    <comment authorId="0" ref="D292">
      <text>
        <t xml:space="preserve">Cuota específica a la que imputas el pago. Si una transferencia paga varias cuotas, distribúyela en filas separadas por cuota.</t>
      </text>
    </comment>
    <comment authorId="0" ref="E292">
      <text>
        <t xml:space="preserve">Fecha real. Solo pagos hasta Supuestos!D6 se incluyen en el corte.</t>
      </text>
    </comment>
    <comment authorId="0" ref="F29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0">
      <text>
        <t xml:space="preserve">ID existente y único en Creditos.</t>
      </text>
    </comment>
    <comment authorId="0" ref="G292">
      <text>
        <t xml:space="preserve">Referencia de comprobante y explicación de la imputación.</t>
      </text>
    </comment>
    <comment authorId="0" ref="D160">
      <text>
        <t xml:space="preserve">Cuota específica a la que imputas el pago. Si una transferencia paga varias cuotas, distribúyela en filas separadas por cuota.</t>
      </text>
    </comment>
    <comment authorId="0" ref="H292">
      <text>
        <t xml:space="preserve">Revisar pago si faltan datos o la cuota/crédito no existe. Pagos futuros válidos quedan registrados pero excluidos al corte.</t>
      </text>
    </comment>
    <comment authorId="0" ref="E160">
      <text>
        <t xml:space="preserve">Fecha real. Solo pagos hasta Supuestos!D6 se incluyen en el corte.</t>
      </text>
    </comment>
    <comment authorId="0" ref="F16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8">
      <text>
        <t xml:space="preserve">ID existente y único en Creditos.</t>
      </text>
    </comment>
    <comment authorId="0" ref="G160">
      <text>
        <t xml:space="preserve">Referencia de comprobante y explicación de la imputación.</t>
      </text>
    </comment>
    <comment authorId="0" ref="D28">
      <text>
        <t xml:space="preserve">Cuota específica a la que imputas el pago. Si una transferencia paga varias cuotas, distribúyela en filas separadas por cuota.</t>
      </text>
    </comment>
    <comment authorId="0" ref="H160">
      <text>
        <t xml:space="preserve">Revisar pago si faltan datos o la cuota/crédito no existe. Pagos futuros válidos quedan registrados pero excluidos al corte.</t>
      </text>
    </comment>
    <comment authorId="0" ref="E28">
      <text>
        <t xml:space="preserve">Fecha real. Solo pagos hasta Supuestos!D6 se incluyen en el corte.</t>
      </text>
    </comment>
    <comment authorId="0" ref="F2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8">
      <text>
        <t xml:space="preserve">Referencia de comprobante y explicación de la imputación.</t>
      </text>
    </comment>
    <comment authorId="0" ref="H28">
      <text>
        <t xml:space="preserve">Revisar pago si faltan datos o la cuota/crédito no existe. Pagos futuros válidos quedan registrados pero excluidos al corte.</t>
      </text>
    </comment>
    <comment authorId="0" ref="C293">
      <text>
        <t xml:space="preserve">ID existente y único en Creditos.</t>
      </text>
    </comment>
    <comment authorId="0" ref="D293">
      <text>
        <t xml:space="preserve">Cuota específica a la que imputas el pago. Si una transferencia paga varias cuotas, distribúyela en filas separadas por cuota.</t>
      </text>
    </comment>
    <comment authorId="0" ref="E293">
      <text>
        <t xml:space="preserve">Fecha real. Solo pagos hasta Supuestos!D6 se incluyen en el corte.</t>
      </text>
    </comment>
    <comment authorId="0" ref="F29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1">
      <text>
        <t xml:space="preserve">ID existente y único en Creditos.</t>
      </text>
    </comment>
    <comment authorId="0" ref="G293">
      <text>
        <t xml:space="preserve">Referencia de comprobante y explicación de la imputación.</t>
      </text>
    </comment>
    <comment authorId="0" ref="D161">
      <text>
        <t xml:space="preserve">Cuota específica a la que imputas el pago. Si una transferencia paga varias cuotas, distribúyela en filas separadas por cuota.</t>
      </text>
    </comment>
    <comment authorId="0" ref="H293">
      <text>
        <t xml:space="preserve">Revisar pago si faltan datos o la cuota/crédito no existe. Pagos futuros válidos quedan registrados pero excluidos al corte.</t>
      </text>
    </comment>
    <comment authorId="0" ref="E161">
      <text>
        <t xml:space="preserve">Fecha real. Solo pagos hasta Supuestos!D6 se incluyen en el corte.</t>
      </text>
    </comment>
    <comment authorId="0" ref="F16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29">
      <text>
        <t xml:space="preserve">ID existente y único en Creditos.</t>
      </text>
    </comment>
    <comment authorId="0" ref="G161">
      <text>
        <t xml:space="preserve">Referencia de comprobante y explicación de la imputación.</t>
      </text>
    </comment>
    <comment authorId="0" ref="D29">
      <text>
        <t xml:space="preserve">Cuota específica a la que imputas el pago. Si una transferencia paga varias cuotas, distribúyela en filas separadas por cuota.</t>
      </text>
    </comment>
    <comment authorId="0" ref="H161">
      <text>
        <t xml:space="preserve">Revisar pago si faltan datos o la cuota/crédito no existe. Pagos futuros válidos quedan registrados pero excluidos al corte.</t>
      </text>
    </comment>
    <comment authorId="0" ref="E29">
      <text>
        <t xml:space="preserve">Fecha real. Solo pagos hasta Supuestos!D6 se incluyen en el corte.</t>
      </text>
    </comment>
    <comment authorId="0" ref="F2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29">
      <text>
        <t xml:space="preserve">Referencia de comprobante y explicación de la imputación.</t>
      </text>
    </comment>
    <comment authorId="0" ref="H29">
      <text>
        <t xml:space="preserve">Revisar pago si faltan datos o la cuota/crédito no existe. Pagos futuros válidos quedan registrados pero excluidos al corte.</t>
      </text>
    </comment>
    <comment authorId="0" ref="C294">
      <text>
        <t xml:space="preserve">ID existente y único en Creditos.</t>
      </text>
    </comment>
    <comment authorId="0" ref="D294">
      <text>
        <t xml:space="preserve">Cuota específica a la que imputas el pago. Si una transferencia paga varias cuotas, distribúyela en filas separadas por cuota.</t>
      </text>
    </comment>
    <comment authorId="0" ref="E294">
      <text>
        <t xml:space="preserve">Fecha real. Solo pagos hasta Supuestos!D6 se incluyen en el corte.</t>
      </text>
    </comment>
    <comment authorId="0" ref="F29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2">
      <text>
        <t xml:space="preserve">ID existente y único en Creditos.</t>
      </text>
    </comment>
    <comment authorId="0" ref="G294">
      <text>
        <t xml:space="preserve">Referencia de comprobante y explicación de la imputación.</t>
      </text>
    </comment>
    <comment authorId="0" ref="D162">
      <text>
        <t xml:space="preserve">Cuota específica a la que imputas el pago. Si una transferencia paga varias cuotas, distribúyela en filas separadas por cuota.</t>
      </text>
    </comment>
    <comment authorId="0" ref="H294">
      <text>
        <t xml:space="preserve">Revisar pago si faltan datos o la cuota/crédito no existe. Pagos futuros válidos quedan registrados pero excluidos al corte.</t>
      </text>
    </comment>
    <comment authorId="0" ref="E162">
      <text>
        <t xml:space="preserve">Fecha real. Solo pagos hasta Supuestos!D6 se incluyen en el corte.</t>
      </text>
    </comment>
    <comment authorId="0" ref="F16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0">
      <text>
        <t xml:space="preserve">ID existente y único en Creditos.</t>
      </text>
    </comment>
    <comment authorId="0" ref="G162">
      <text>
        <t xml:space="preserve">Referencia de comprobante y explicación de la imputación.</t>
      </text>
    </comment>
    <comment authorId="0" ref="D30">
      <text>
        <t xml:space="preserve">Cuota específica a la que imputas el pago. Si una transferencia paga varias cuotas, distribúyela en filas separadas por cuota.</t>
      </text>
    </comment>
    <comment authorId="0" ref="H162">
      <text>
        <t xml:space="preserve">Revisar pago si faltan datos o la cuota/crédito no existe. Pagos futuros válidos quedan registrados pero excluidos al corte.</t>
      </text>
    </comment>
    <comment authorId="0" ref="E30">
      <text>
        <t xml:space="preserve">Fecha real. Solo pagos hasta Supuestos!D6 se incluyen en el corte.</t>
      </text>
    </comment>
    <comment authorId="0" ref="F3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0">
      <text>
        <t xml:space="preserve">Referencia de comprobante y explicación de la imputación.</t>
      </text>
    </comment>
    <comment authorId="0" ref="H30">
      <text>
        <t xml:space="preserve">Revisar pago si faltan datos o la cuota/crédito no existe. Pagos futuros válidos quedan registrados pero excluidos al corte.</t>
      </text>
    </comment>
    <comment authorId="0" ref="C295">
      <text>
        <t xml:space="preserve">ID existente y único en Creditos.</t>
      </text>
    </comment>
    <comment authorId="0" ref="D295">
      <text>
        <t xml:space="preserve">Cuota específica a la que imputas el pago. Si una transferencia paga varias cuotas, distribúyela en filas separadas por cuota.</t>
      </text>
    </comment>
    <comment authorId="0" ref="E295">
      <text>
        <t xml:space="preserve">Fecha real. Solo pagos hasta Supuestos!D6 se incluyen en el corte.</t>
      </text>
    </comment>
    <comment authorId="0" ref="F29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3">
      <text>
        <t xml:space="preserve">ID existente y único en Creditos.</t>
      </text>
    </comment>
    <comment authorId="0" ref="G295">
      <text>
        <t xml:space="preserve">Referencia de comprobante y explicación de la imputación.</t>
      </text>
    </comment>
    <comment authorId="0" ref="D163">
      <text>
        <t xml:space="preserve">Cuota específica a la que imputas el pago. Si una transferencia paga varias cuotas, distribúyela en filas separadas por cuota.</t>
      </text>
    </comment>
    <comment authorId="0" ref="H295">
      <text>
        <t xml:space="preserve">Revisar pago si faltan datos o la cuota/crédito no existe. Pagos futuros válidos quedan registrados pero excluidos al corte.</t>
      </text>
    </comment>
    <comment authorId="0" ref="E163">
      <text>
        <t xml:space="preserve">Fecha real. Solo pagos hasta Supuestos!D6 se incluyen en el corte.</t>
      </text>
    </comment>
    <comment authorId="0" ref="F16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1">
      <text>
        <t xml:space="preserve">ID existente y único en Creditos.</t>
      </text>
    </comment>
    <comment authorId="0" ref="G163">
      <text>
        <t xml:space="preserve">Referencia de comprobante y explicación de la imputación.</t>
      </text>
    </comment>
    <comment authorId="0" ref="D31">
      <text>
        <t xml:space="preserve">Cuota específica a la que imputas el pago. Si una transferencia paga varias cuotas, distribúyela en filas separadas por cuota.</t>
      </text>
    </comment>
    <comment authorId="0" ref="H163">
      <text>
        <t xml:space="preserve">Revisar pago si faltan datos o la cuota/crédito no existe. Pagos futuros válidos quedan registrados pero excluidos al corte.</t>
      </text>
    </comment>
    <comment authorId="0" ref="E31">
      <text>
        <t xml:space="preserve">Fecha real. Solo pagos hasta Supuestos!D6 se incluyen en el corte.</t>
      </text>
    </comment>
    <comment authorId="0" ref="F3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1">
      <text>
        <t xml:space="preserve">Referencia de comprobante y explicación de la imputación.</t>
      </text>
    </comment>
    <comment authorId="0" ref="H31">
      <text>
        <t xml:space="preserve">Revisar pago si faltan datos o la cuota/crédito no existe. Pagos futuros válidos quedan registrados pero excluidos al corte.</t>
      </text>
    </comment>
    <comment authorId="0" ref="C296">
      <text>
        <t xml:space="preserve">ID existente y único en Creditos.</t>
      </text>
    </comment>
    <comment authorId="0" ref="D296">
      <text>
        <t xml:space="preserve">Cuota específica a la que imputas el pago. Si una transferencia paga varias cuotas, distribúyela en filas separadas por cuota.</t>
      </text>
    </comment>
    <comment authorId="0" ref="E296">
      <text>
        <t xml:space="preserve">Fecha real. Solo pagos hasta Supuestos!D6 se incluyen en el corte.</t>
      </text>
    </comment>
    <comment authorId="0" ref="F29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4">
      <text>
        <t xml:space="preserve">ID existente y único en Creditos.</t>
      </text>
    </comment>
    <comment authorId="0" ref="G296">
      <text>
        <t xml:space="preserve">Referencia de comprobante y explicación de la imputación.</t>
      </text>
    </comment>
    <comment authorId="0" ref="D164">
      <text>
        <t xml:space="preserve">Cuota específica a la que imputas el pago. Si una transferencia paga varias cuotas, distribúyela en filas separadas por cuota.</t>
      </text>
    </comment>
    <comment authorId="0" ref="H296">
      <text>
        <t xml:space="preserve">Revisar pago si faltan datos o la cuota/crédito no existe. Pagos futuros válidos quedan registrados pero excluidos al corte.</t>
      </text>
    </comment>
    <comment authorId="0" ref="E164">
      <text>
        <t xml:space="preserve">Fecha real. Solo pagos hasta Supuestos!D6 se incluyen en el corte.</t>
      </text>
    </comment>
    <comment authorId="0" ref="F16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2">
      <text>
        <t xml:space="preserve">ID existente y único en Creditos.</t>
      </text>
    </comment>
    <comment authorId="0" ref="G164">
      <text>
        <t xml:space="preserve">Referencia de comprobante y explicación de la imputación.</t>
      </text>
    </comment>
    <comment authorId="0" ref="D32">
      <text>
        <t xml:space="preserve">Cuota específica a la que imputas el pago. Si una transferencia paga varias cuotas, distribúyela en filas separadas por cuota.</t>
      </text>
    </comment>
    <comment authorId="0" ref="H164">
      <text>
        <t xml:space="preserve">Revisar pago si faltan datos o la cuota/crédito no existe. Pagos futuros válidos quedan registrados pero excluidos al corte.</t>
      </text>
    </comment>
    <comment authorId="0" ref="E32">
      <text>
        <t xml:space="preserve">Fecha real. Solo pagos hasta Supuestos!D6 se incluyen en el corte.</t>
      </text>
    </comment>
    <comment authorId="0" ref="F3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2">
      <text>
        <t xml:space="preserve">Referencia de comprobante y explicación de la imputación.</t>
      </text>
    </comment>
    <comment authorId="0" ref="H32">
      <text>
        <t xml:space="preserve">Revisar pago si faltan datos o la cuota/crédito no existe. Pagos futuros válidos quedan registrados pero excluidos al corte.</t>
      </text>
    </comment>
    <comment authorId="0" ref="C297">
      <text>
        <t xml:space="preserve">ID existente y único en Creditos.</t>
      </text>
    </comment>
    <comment authorId="0" ref="D297">
      <text>
        <t xml:space="preserve">Cuota específica a la que imputas el pago. Si una transferencia paga varias cuotas, distribúyela en filas separadas por cuota.</t>
      </text>
    </comment>
    <comment authorId="0" ref="E297">
      <text>
        <t xml:space="preserve">Fecha real. Solo pagos hasta Supuestos!D6 se incluyen en el corte.</t>
      </text>
    </comment>
    <comment authorId="0" ref="F29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5">
      <text>
        <t xml:space="preserve">ID existente y único en Creditos.</t>
      </text>
    </comment>
    <comment authorId="0" ref="G297">
      <text>
        <t xml:space="preserve">Referencia de comprobante y explicación de la imputación.</t>
      </text>
    </comment>
    <comment authorId="0" ref="D165">
      <text>
        <t xml:space="preserve">Cuota específica a la que imputas el pago. Si una transferencia paga varias cuotas, distribúyela en filas separadas por cuota.</t>
      </text>
    </comment>
    <comment authorId="0" ref="H297">
      <text>
        <t xml:space="preserve">Revisar pago si faltan datos o la cuota/crédito no existe. Pagos futuros válidos quedan registrados pero excluidos al corte.</t>
      </text>
    </comment>
    <comment authorId="0" ref="E165">
      <text>
        <t xml:space="preserve">Fecha real. Solo pagos hasta Supuestos!D6 se incluyen en el corte.</t>
      </text>
    </comment>
    <comment authorId="0" ref="F16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3">
      <text>
        <t xml:space="preserve">ID existente y único en Creditos.</t>
      </text>
    </comment>
    <comment authorId="0" ref="G165">
      <text>
        <t xml:space="preserve">Referencia de comprobante y explicación de la imputación.</t>
      </text>
    </comment>
    <comment authorId="0" ref="D33">
      <text>
        <t xml:space="preserve">Cuota específica a la que imputas el pago. Si una transferencia paga varias cuotas, distribúyela en filas separadas por cuota.</t>
      </text>
    </comment>
    <comment authorId="0" ref="H165">
      <text>
        <t xml:space="preserve">Revisar pago si faltan datos o la cuota/crédito no existe. Pagos futuros válidos quedan registrados pero excluidos al corte.</t>
      </text>
    </comment>
    <comment authorId="0" ref="E33">
      <text>
        <t xml:space="preserve">Fecha real. Solo pagos hasta Supuestos!D6 se incluyen en el corte.</t>
      </text>
    </comment>
    <comment authorId="0" ref="F3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3">
      <text>
        <t xml:space="preserve">Referencia de comprobante y explicación de la imputación.</t>
      </text>
    </comment>
    <comment authorId="0" ref="H33">
      <text>
        <t xml:space="preserve">Revisar pago si faltan datos o la cuota/crédito no existe. Pagos futuros válidos quedan registrados pero excluidos al corte.</t>
      </text>
    </comment>
    <comment authorId="0" ref="C298">
      <text>
        <t xml:space="preserve">ID existente y único en Creditos.</t>
      </text>
    </comment>
    <comment authorId="0" ref="D298">
      <text>
        <t xml:space="preserve">Cuota específica a la que imputas el pago. Si una transferencia paga varias cuotas, distribúyela en filas separadas por cuota.</t>
      </text>
    </comment>
    <comment authorId="0" ref="E298">
      <text>
        <t xml:space="preserve">Fecha real. Solo pagos hasta Supuestos!D6 se incluyen en el corte.</t>
      </text>
    </comment>
    <comment authorId="0" ref="F29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6">
      <text>
        <t xml:space="preserve">ID existente y único en Creditos.</t>
      </text>
    </comment>
    <comment authorId="0" ref="G298">
      <text>
        <t xml:space="preserve">Referencia de comprobante y explicación de la imputación.</t>
      </text>
    </comment>
    <comment authorId="0" ref="D166">
      <text>
        <t xml:space="preserve">Cuota específica a la que imputas el pago. Si una transferencia paga varias cuotas, distribúyela en filas separadas por cuota.</t>
      </text>
    </comment>
    <comment authorId="0" ref="H298">
      <text>
        <t xml:space="preserve">Revisar pago si faltan datos o la cuota/crédito no existe. Pagos futuros válidos quedan registrados pero excluidos al corte.</t>
      </text>
    </comment>
    <comment authorId="0" ref="E166">
      <text>
        <t xml:space="preserve">Fecha real. Solo pagos hasta Supuestos!D6 se incluyen en el corte.</t>
      </text>
    </comment>
    <comment authorId="0" ref="F16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4">
      <text>
        <t xml:space="preserve">ID existente y único en Creditos.</t>
      </text>
    </comment>
    <comment authorId="0" ref="G166">
      <text>
        <t xml:space="preserve">Referencia de comprobante y explicación de la imputación.</t>
      </text>
    </comment>
    <comment authorId="0" ref="D34">
      <text>
        <t xml:space="preserve">Cuota específica a la que imputas el pago. Si una transferencia paga varias cuotas, distribúyela en filas separadas por cuota.</t>
      </text>
    </comment>
    <comment authorId="0" ref="H166">
      <text>
        <t xml:space="preserve">Revisar pago si faltan datos o la cuota/crédito no existe. Pagos futuros válidos quedan registrados pero excluidos al corte.</t>
      </text>
    </comment>
    <comment authorId="0" ref="E34">
      <text>
        <t xml:space="preserve">Fecha real. Solo pagos hasta Supuestos!D6 se incluyen en el corte.</t>
      </text>
    </comment>
    <comment authorId="0" ref="F3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4">
      <text>
        <t xml:space="preserve">Referencia de comprobante y explicación de la imputación.</t>
      </text>
    </comment>
    <comment authorId="0" ref="H34">
      <text>
        <t xml:space="preserve">Revisar pago si faltan datos o la cuota/crédito no existe. Pagos futuros válidos quedan registrados pero excluidos al corte.</t>
      </text>
    </comment>
    <comment authorId="0" ref="C299">
      <text>
        <t xml:space="preserve">ID existente y único en Creditos.</t>
      </text>
    </comment>
    <comment authorId="0" ref="D299">
      <text>
        <t xml:space="preserve">Cuota específica a la que imputas el pago. Si una transferencia paga varias cuotas, distribúyela en filas separadas por cuota.</t>
      </text>
    </comment>
    <comment authorId="0" ref="E299">
      <text>
        <t xml:space="preserve">Fecha real. Solo pagos hasta Supuestos!D6 se incluyen en el corte.</t>
      </text>
    </comment>
    <comment authorId="0" ref="F29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7">
      <text>
        <t xml:space="preserve">ID existente y único en Creditos.</t>
      </text>
    </comment>
    <comment authorId="0" ref="G299">
      <text>
        <t xml:space="preserve">Referencia de comprobante y explicación de la imputación.</t>
      </text>
    </comment>
    <comment authorId="0" ref="D167">
      <text>
        <t xml:space="preserve">Cuota específica a la que imputas el pago. Si una transferencia paga varias cuotas, distribúyela en filas separadas por cuota.</t>
      </text>
    </comment>
    <comment authorId="0" ref="H299">
      <text>
        <t xml:space="preserve">Revisar pago si faltan datos o la cuota/crédito no existe. Pagos futuros válidos quedan registrados pero excluidos al corte.</t>
      </text>
    </comment>
    <comment authorId="0" ref="E167">
      <text>
        <t xml:space="preserve">Fecha real. Solo pagos hasta Supuestos!D6 se incluyen en el corte.</t>
      </text>
    </comment>
    <comment authorId="0" ref="F16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5">
      <text>
        <t xml:space="preserve">ID existente y único en Creditos.</t>
      </text>
    </comment>
    <comment authorId="0" ref="G167">
      <text>
        <t xml:space="preserve">Referencia de comprobante y explicación de la imputación.</t>
      </text>
    </comment>
    <comment authorId="0" ref="D35">
      <text>
        <t xml:space="preserve">Cuota específica a la que imputas el pago. Si una transferencia paga varias cuotas, distribúyela en filas separadas por cuota.</t>
      </text>
    </comment>
    <comment authorId="0" ref="H167">
      <text>
        <t xml:space="preserve">Revisar pago si faltan datos o la cuota/crédito no existe. Pagos futuros válidos quedan registrados pero excluidos al corte.</t>
      </text>
    </comment>
    <comment authorId="0" ref="E35">
      <text>
        <t xml:space="preserve">Fecha real. Solo pagos hasta Supuestos!D6 se incluyen en el corte.</t>
      </text>
    </comment>
    <comment authorId="0" ref="F3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5">
      <text>
        <t xml:space="preserve">Referencia de comprobante y explicación de la imputación.</t>
      </text>
    </comment>
    <comment authorId="0" ref="H35">
      <text>
        <t xml:space="preserve">Revisar pago si faltan datos o la cuota/crédito no existe. Pagos futuros válidos quedan registrados pero excluidos al corte.</t>
      </text>
    </comment>
    <comment authorId="0" ref="C300">
      <text>
        <t xml:space="preserve">ID existente y único en Creditos.</t>
      </text>
    </comment>
    <comment authorId="0" ref="D300">
      <text>
        <t xml:space="preserve">Cuota específica a la que imputas el pago. Si una transferencia paga varias cuotas, distribúyela en filas separadas por cuota.</t>
      </text>
    </comment>
    <comment authorId="0" ref="E300">
      <text>
        <t xml:space="preserve">Fecha real. Solo pagos hasta Supuestos!D6 se incluyen en el corte.</t>
      </text>
    </comment>
    <comment authorId="0" ref="F30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8">
      <text>
        <t xml:space="preserve">ID existente y único en Creditos.</t>
      </text>
    </comment>
    <comment authorId="0" ref="G300">
      <text>
        <t xml:space="preserve">Referencia de comprobante y explicación de la imputación.</t>
      </text>
    </comment>
    <comment authorId="0" ref="D168">
      <text>
        <t xml:space="preserve">Cuota específica a la que imputas el pago. Si una transferencia paga varias cuotas, distribúyela en filas separadas por cuota.</t>
      </text>
    </comment>
    <comment authorId="0" ref="H300">
      <text>
        <t xml:space="preserve">Revisar pago si faltan datos o la cuota/crédito no existe. Pagos futuros válidos quedan registrados pero excluidos al corte.</t>
      </text>
    </comment>
    <comment authorId="0" ref="E168">
      <text>
        <t xml:space="preserve">Fecha real. Solo pagos hasta Supuestos!D6 se incluyen en el corte.</t>
      </text>
    </comment>
    <comment authorId="0" ref="F16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6">
      <text>
        <t xml:space="preserve">ID existente y único en Creditos.</t>
      </text>
    </comment>
    <comment authorId="0" ref="G168">
      <text>
        <t xml:space="preserve">Referencia de comprobante y explicación de la imputación.</t>
      </text>
    </comment>
    <comment authorId="0" ref="D36">
      <text>
        <t xml:space="preserve">Cuota específica a la que imputas el pago. Si una transferencia paga varias cuotas, distribúyela en filas separadas por cuota.</t>
      </text>
    </comment>
    <comment authorId="0" ref="H168">
      <text>
        <t xml:space="preserve">Revisar pago si faltan datos o la cuota/crédito no existe. Pagos futuros válidos quedan registrados pero excluidos al corte.</t>
      </text>
    </comment>
    <comment authorId="0" ref="E36">
      <text>
        <t xml:space="preserve">Fecha real. Solo pagos hasta Supuestos!D6 se incluyen en el corte.</t>
      </text>
    </comment>
    <comment authorId="0" ref="F3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6">
      <text>
        <t xml:space="preserve">Referencia de comprobante y explicación de la imputación.</t>
      </text>
    </comment>
    <comment authorId="0" ref="H36">
      <text>
        <t xml:space="preserve">Revisar pago si faltan datos o la cuota/crédito no existe. Pagos futuros válidos quedan registrados pero excluidos al corte.</t>
      </text>
    </comment>
    <comment authorId="0" ref="C301">
      <text>
        <t xml:space="preserve">ID existente y único en Creditos.</t>
      </text>
    </comment>
    <comment authorId="0" ref="D301">
      <text>
        <t xml:space="preserve">Cuota específica a la que imputas el pago. Si una transferencia paga varias cuotas, distribúyela en filas separadas por cuota.</t>
      </text>
    </comment>
    <comment authorId="0" ref="E301">
      <text>
        <t xml:space="preserve">Fecha real. Solo pagos hasta Supuestos!D6 se incluyen en el corte.</t>
      </text>
    </comment>
    <comment authorId="0" ref="F30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69">
      <text>
        <t xml:space="preserve">ID existente y único en Creditos.</t>
      </text>
    </comment>
    <comment authorId="0" ref="G301">
      <text>
        <t xml:space="preserve">Referencia de comprobante y explicación de la imputación.</t>
      </text>
    </comment>
    <comment authorId="0" ref="D169">
      <text>
        <t xml:space="preserve">Cuota específica a la que imputas el pago. Si una transferencia paga varias cuotas, distribúyela en filas separadas por cuota.</t>
      </text>
    </comment>
    <comment authorId="0" ref="H301">
      <text>
        <t xml:space="preserve">Revisar pago si faltan datos o la cuota/crédito no existe. Pagos futuros válidos quedan registrados pero excluidos al corte.</t>
      </text>
    </comment>
    <comment authorId="0" ref="E169">
      <text>
        <t xml:space="preserve">Fecha real. Solo pagos hasta Supuestos!D6 se incluyen en el corte.</t>
      </text>
    </comment>
    <comment authorId="0" ref="F16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7">
      <text>
        <t xml:space="preserve">ID existente y único en Creditos.</t>
      </text>
    </comment>
    <comment authorId="0" ref="G169">
      <text>
        <t xml:space="preserve">Referencia de comprobante y explicación de la imputación.</t>
      </text>
    </comment>
    <comment authorId="0" ref="D37">
      <text>
        <t xml:space="preserve">Cuota específica a la que imputas el pago. Si una transferencia paga varias cuotas, distribúyela en filas separadas por cuota.</t>
      </text>
    </comment>
    <comment authorId="0" ref="H169">
      <text>
        <t xml:space="preserve">Revisar pago si faltan datos o la cuota/crédito no existe. Pagos futuros válidos quedan registrados pero excluidos al corte.</t>
      </text>
    </comment>
    <comment authorId="0" ref="E37">
      <text>
        <t xml:space="preserve">Fecha real. Solo pagos hasta Supuestos!D6 se incluyen en el corte.</t>
      </text>
    </comment>
    <comment authorId="0" ref="F3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7">
      <text>
        <t xml:space="preserve">Referencia de comprobante y explicación de la imputación.</t>
      </text>
    </comment>
    <comment authorId="0" ref="H37">
      <text>
        <t xml:space="preserve">Revisar pago si faltan datos o la cuota/crédito no existe. Pagos futuros válidos quedan registrados pero excluidos al corte.</t>
      </text>
    </comment>
    <comment authorId="0" ref="C302">
      <text>
        <t xml:space="preserve">ID existente y único en Creditos.</t>
      </text>
    </comment>
    <comment authorId="0" ref="D302">
      <text>
        <t xml:space="preserve">Cuota específica a la que imputas el pago. Si una transferencia paga varias cuotas, distribúyela en filas separadas por cuota.</t>
      </text>
    </comment>
    <comment authorId="0" ref="E302">
      <text>
        <t xml:space="preserve">Fecha real. Solo pagos hasta Supuestos!D6 se incluyen en el corte.</t>
      </text>
    </comment>
    <comment authorId="0" ref="F30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70">
      <text>
        <t xml:space="preserve">ID existente y único en Creditos.</t>
      </text>
    </comment>
    <comment authorId="0" ref="G302">
      <text>
        <t xml:space="preserve">Referencia de comprobante y explicación de la imputación.</t>
      </text>
    </comment>
    <comment authorId="0" ref="D170">
      <text>
        <t xml:space="preserve">Cuota específica a la que imputas el pago. Si una transferencia paga varias cuotas, distribúyela en filas separadas por cuota.</t>
      </text>
    </comment>
    <comment authorId="0" ref="H302">
      <text>
        <t xml:space="preserve">Revisar pago si faltan datos o la cuota/crédito no existe. Pagos futuros válidos quedan registrados pero excluidos al corte.</t>
      </text>
    </comment>
    <comment authorId="0" ref="E170">
      <text>
        <t xml:space="preserve">Fecha real. Solo pagos hasta Supuestos!D6 se incluyen en el corte.</t>
      </text>
    </comment>
    <comment authorId="0" ref="F17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8">
      <text>
        <t xml:space="preserve">ID existente y único en Creditos.</t>
      </text>
    </comment>
    <comment authorId="0" ref="G170">
      <text>
        <t xml:space="preserve">Referencia de comprobante y explicación de la imputación.</t>
      </text>
    </comment>
    <comment authorId="0" ref="D38">
      <text>
        <t xml:space="preserve">Cuota específica a la que imputas el pago. Si una transferencia paga varias cuotas, distribúyela en filas separadas por cuota.</t>
      </text>
    </comment>
    <comment authorId="0" ref="H170">
      <text>
        <t xml:space="preserve">Revisar pago si faltan datos o la cuota/crédito no existe. Pagos futuros válidos quedan registrados pero excluidos al corte.</t>
      </text>
    </comment>
    <comment authorId="0" ref="E38">
      <text>
        <t xml:space="preserve">Fecha real. Solo pagos hasta Supuestos!D6 se incluyen en el corte.</t>
      </text>
    </comment>
    <comment authorId="0" ref="F3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8">
      <text>
        <t xml:space="preserve">Referencia de comprobante y explicación de la imputación.</t>
      </text>
    </comment>
    <comment authorId="0" ref="H38">
      <text>
        <t xml:space="preserve">Revisar pago si faltan datos o la cuota/crédito no existe. Pagos futuros válidos quedan registrados pero excluidos al corte.</t>
      </text>
    </comment>
    <comment authorId="0" ref="C303">
      <text>
        <t xml:space="preserve">ID existente y único en Creditos.</t>
      </text>
    </comment>
    <comment authorId="0" ref="D303">
      <text>
        <t xml:space="preserve">Cuota específica a la que imputas el pago. Si una transferencia paga varias cuotas, distribúyela en filas separadas por cuota.</t>
      </text>
    </comment>
    <comment authorId="0" ref="E303">
      <text>
        <t xml:space="preserve">Fecha real. Solo pagos hasta Supuestos!D6 se incluyen en el corte.</t>
      </text>
    </comment>
    <comment authorId="0" ref="F30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71">
      <text>
        <t xml:space="preserve">ID existente y único en Creditos.</t>
      </text>
    </comment>
    <comment authorId="0" ref="G303">
      <text>
        <t xml:space="preserve">Referencia de comprobante y explicación de la imputación.</t>
      </text>
    </comment>
    <comment authorId="0" ref="D171">
      <text>
        <t xml:space="preserve">Cuota específica a la que imputas el pago. Si una transferencia paga varias cuotas, distribúyela en filas separadas por cuota.</t>
      </text>
    </comment>
    <comment authorId="0" ref="H303">
      <text>
        <t xml:space="preserve">Revisar pago si faltan datos o la cuota/crédito no existe. Pagos futuros válidos quedan registrados pero excluidos al corte.</t>
      </text>
    </comment>
    <comment authorId="0" ref="E171">
      <text>
        <t xml:space="preserve">Fecha real. Solo pagos hasta Supuestos!D6 se incluyen en el corte.</t>
      </text>
    </comment>
    <comment authorId="0" ref="F17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39">
      <text>
        <t xml:space="preserve">ID existente y único en Creditos.</t>
      </text>
    </comment>
    <comment authorId="0" ref="G171">
      <text>
        <t xml:space="preserve">Referencia de comprobante y explicación de la imputación.</t>
      </text>
    </comment>
    <comment authorId="0" ref="D39">
      <text>
        <t xml:space="preserve">Cuota específica a la que imputas el pago. Si una transferencia paga varias cuotas, distribúyela en filas separadas por cuota.</t>
      </text>
    </comment>
    <comment authorId="0" ref="H171">
      <text>
        <t xml:space="preserve">Revisar pago si faltan datos o la cuota/crédito no existe. Pagos futuros válidos quedan registrados pero excluidos al corte.</t>
      </text>
    </comment>
    <comment authorId="0" ref="E39">
      <text>
        <t xml:space="preserve">Fecha real. Solo pagos hasta Supuestos!D6 se incluyen en el corte.</t>
      </text>
    </comment>
    <comment authorId="0" ref="F3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39">
      <text>
        <t xml:space="preserve">Referencia de comprobante y explicación de la imputación.</t>
      </text>
    </comment>
    <comment authorId="0" ref="H39">
      <text>
        <t xml:space="preserve">Revisar pago si faltan datos o la cuota/crédito no existe. Pagos futuros válidos quedan registrados pero excluidos al corte.</t>
      </text>
    </comment>
    <comment authorId="0" ref="C304">
      <text>
        <t xml:space="preserve">ID existente y único en Creditos.</t>
      </text>
    </comment>
    <comment authorId="0" ref="D304">
      <text>
        <t xml:space="preserve">Cuota específica a la que imputas el pago. Si una transferencia paga varias cuotas, distribúyela en filas separadas por cuota.</t>
      </text>
    </comment>
    <comment authorId="0" ref="E304">
      <text>
        <t xml:space="preserve">Fecha real. Solo pagos hasta Supuestos!D6 se incluyen en el corte.</t>
      </text>
    </comment>
    <comment authorId="0" ref="F30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72">
      <text>
        <t xml:space="preserve">ID existente y único en Creditos.</t>
      </text>
    </comment>
    <comment authorId="0" ref="G304">
      <text>
        <t xml:space="preserve">Referencia de comprobante y explicación de la imputación.</t>
      </text>
    </comment>
    <comment authorId="0" ref="D172">
      <text>
        <t xml:space="preserve">Cuota específica a la que imputas el pago. Si una transferencia paga varias cuotas, distribúyela en filas separadas por cuota.</t>
      </text>
    </comment>
    <comment authorId="0" ref="H304">
      <text>
        <t xml:space="preserve">Revisar pago si faltan datos o la cuota/crédito no existe. Pagos futuros válidos quedan registrados pero excluidos al corte.</t>
      </text>
    </comment>
    <comment authorId="0" ref="E172">
      <text>
        <t xml:space="preserve">Fecha real. Solo pagos hasta Supuestos!D6 se incluyen en el corte.</t>
      </text>
    </comment>
    <comment authorId="0" ref="F17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0">
      <text>
        <t xml:space="preserve">ID existente y único en Creditos.</t>
      </text>
    </comment>
    <comment authorId="0" ref="G172">
      <text>
        <t xml:space="preserve">Referencia de comprobante y explicación de la imputación.</t>
      </text>
    </comment>
    <comment authorId="0" ref="D40">
      <text>
        <t xml:space="preserve">Cuota específica a la que imputas el pago. Si una transferencia paga varias cuotas, distribúyela en filas separadas por cuota.</t>
      </text>
    </comment>
    <comment authorId="0" ref="H172">
      <text>
        <t xml:space="preserve">Revisar pago si faltan datos o la cuota/crédito no existe. Pagos futuros válidos quedan registrados pero excluidos al corte.</t>
      </text>
    </comment>
    <comment authorId="0" ref="E40">
      <text>
        <t xml:space="preserve">Fecha real. Solo pagos hasta Supuestos!D6 se incluyen en el corte.</t>
      </text>
    </comment>
    <comment authorId="0" ref="F4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0">
      <text>
        <t xml:space="preserve">Referencia de comprobante y explicación de la imputación.</t>
      </text>
    </comment>
    <comment authorId="0" ref="H40">
      <text>
        <t xml:space="preserve">Revisar pago si faltan datos o la cuota/crédito no existe. Pagos futuros válidos quedan registrados pero excluidos al corte.</t>
      </text>
    </comment>
    <comment authorId="0" ref="C305">
      <text>
        <t xml:space="preserve">ID existente y único en Creditos.</t>
      </text>
    </comment>
    <comment authorId="0" ref="D305">
      <text>
        <t xml:space="preserve">Cuota específica a la que imputas el pago. Si una transferencia paga varias cuotas, distribúyela en filas separadas por cuota.</t>
      </text>
    </comment>
    <comment authorId="0" ref="E305">
      <text>
        <t xml:space="preserve">Fecha real. Solo pagos hasta Supuestos!D6 se incluyen en el corte.</t>
      </text>
    </comment>
    <comment authorId="0" ref="F30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73">
      <text>
        <t xml:space="preserve">ID existente y único en Creditos.</t>
      </text>
    </comment>
    <comment authorId="0" ref="G305">
      <text>
        <t xml:space="preserve">Referencia de comprobante y explicación de la imputación.</t>
      </text>
    </comment>
    <comment authorId="0" ref="D173">
      <text>
        <t xml:space="preserve">Cuota específica a la que imputas el pago. Si una transferencia paga varias cuotas, distribúyela en filas separadas por cuota.</t>
      </text>
    </comment>
    <comment authorId="0" ref="H305">
      <text>
        <t xml:space="preserve">Revisar pago si faltan datos o la cuota/crédito no existe. Pagos futuros válidos quedan registrados pero excluidos al corte.</t>
      </text>
    </comment>
    <comment authorId="0" ref="E173">
      <text>
        <t xml:space="preserve">Fecha real. Solo pagos hasta Supuestos!D6 se incluyen en el corte.</t>
      </text>
    </comment>
    <comment authorId="0" ref="F17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1">
      <text>
        <t xml:space="preserve">ID existente y único en Creditos.</t>
      </text>
    </comment>
    <comment authorId="0" ref="G173">
      <text>
        <t xml:space="preserve">Referencia de comprobante y explicación de la imputación.</t>
      </text>
    </comment>
    <comment authorId="0" ref="D41">
      <text>
        <t xml:space="preserve">Cuota específica a la que imputas el pago. Si una transferencia paga varias cuotas, distribúyela en filas separadas por cuota.</t>
      </text>
    </comment>
    <comment authorId="0" ref="H173">
      <text>
        <t xml:space="preserve">Revisar pago si faltan datos o la cuota/crédito no existe. Pagos futuros válidos quedan registrados pero excluidos al corte.</t>
      </text>
    </comment>
    <comment authorId="0" ref="E41">
      <text>
        <t xml:space="preserve">Fecha real. Solo pagos hasta Supuestos!D6 se incluyen en el corte.</t>
      </text>
    </comment>
    <comment authorId="0" ref="F4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1">
      <text>
        <t xml:space="preserve">Referencia de comprobante y explicación de la imputación.</t>
      </text>
    </comment>
    <comment authorId="0" ref="H41">
      <text>
        <t xml:space="preserve">Revisar pago si faltan datos o la cuota/crédito no existe. Pagos futuros válidos quedan registrados pero excluidos al corte.</t>
      </text>
    </comment>
    <comment authorId="0" ref="C174">
      <text>
        <t xml:space="preserve">ID existente y único en Creditos.</t>
      </text>
    </comment>
    <comment authorId="0" ref="D174">
      <text>
        <t xml:space="preserve">Cuota específica a la que imputas el pago. Si una transferencia paga varias cuotas, distribúyela en filas separadas por cuota.</t>
      </text>
    </comment>
    <comment authorId="0" ref="E174">
      <text>
        <t xml:space="preserve">Fecha real. Solo pagos hasta Supuestos!D6 se incluyen en el corte.</t>
      </text>
    </comment>
    <comment authorId="0" ref="F17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2">
      <text>
        <t xml:space="preserve">ID existente y único en Creditos.</t>
      </text>
    </comment>
    <comment authorId="0" ref="G174">
      <text>
        <t xml:space="preserve">Referencia de comprobante y explicación de la imputación.</t>
      </text>
    </comment>
    <comment authorId="0" ref="D42">
      <text>
        <t xml:space="preserve">Cuota específica a la que imputas el pago. Si una transferencia paga varias cuotas, distribúyela en filas separadas por cuota.</t>
      </text>
    </comment>
    <comment authorId="0" ref="H174">
      <text>
        <t xml:space="preserve">Revisar pago si faltan datos o la cuota/crédito no existe. Pagos futuros válidos quedan registrados pero excluidos al corte.</t>
      </text>
    </comment>
    <comment authorId="0" ref="E42">
      <text>
        <t xml:space="preserve">Fecha real. Solo pagos hasta Supuestos!D6 se incluyen en el corte.</t>
      </text>
    </comment>
    <comment authorId="0" ref="F4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2">
      <text>
        <t xml:space="preserve">Referencia de comprobante y explicación de la imputación.</t>
      </text>
    </comment>
    <comment authorId="0" ref="H42">
      <text>
        <t xml:space="preserve">Revisar pago si faltan datos o la cuota/crédito no existe. Pagos futuros válidos quedan registrados pero excluidos al corte.</t>
      </text>
    </comment>
    <comment authorId="0" ref="C175">
      <text>
        <t xml:space="preserve">ID existente y único en Creditos.</t>
      </text>
    </comment>
    <comment authorId="0" ref="D175">
      <text>
        <t xml:space="preserve">Cuota específica a la que imputas el pago. Si una transferencia paga varias cuotas, distribúyela en filas separadas por cuota.</t>
      </text>
    </comment>
    <comment authorId="0" ref="E175">
      <text>
        <t xml:space="preserve">Fecha real. Solo pagos hasta Supuestos!D6 se incluyen en el corte.</t>
      </text>
    </comment>
    <comment authorId="0" ref="F17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3">
      <text>
        <t xml:space="preserve">ID existente y único en Creditos.</t>
      </text>
    </comment>
    <comment authorId="0" ref="G175">
      <text>
        <t xml:space="preserve">Referencia de comprobante y explicación de la imputación.</t>
      </text>
    </comment>
    <comment authorId="0" ref="D43">
      <text>
        <t xml:space="preserve">Cuota específica a la que imputas el pago. Si una transferencia paga varias cuotas, distribúyela en filas separadas por cuota.</t>
      </text>
    </comment>
    <comment authorId="0" ref="H175">
      <text>
        <t xml:space="preserve">Revisar pago si faltan datos o la cuota/crédito no existe. Pagos futuros válidos quedan registrados pero excluidos al corte.</t>
      </text>
    </comment>
    <comment authorId="0" ref="E43">
      <text>
        <t xml:space="preserve">Fecha real. Solo pagos hasta Supuestos!D6 se incluyen en el corte.</t>
      </text>
    </comment>
    <comment authorId="0" ref="F4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3">
      <text>
        <t xml:space="preserve">Referencia de comprobante y explicación de la imputación.</t>
      </text>
    </comment>
    <comment authorId="0" ref="H43">
      <text>
        <t xml:space="preserve">Revisar pago si faltan datos o la cuota/crédito no existe. Pagos futuros válidos quedan registrados pero excluidos al corte.</t>
      </text>
    </comment>
    <comment authorId="0" ref="C176">
      <text>
        <t xml:space="preserve">ID existente y único en Creditos.</t>
      </text>
    </comment>
    <comment authorId="0" ref="D176">
      <text>
        <t xml:space="preserve">Cuota específica a la que imputas el pago. Si una transferencia paga varias cuotas, distribúyela en filas separadas por cuota.</t>
      </text>
    </comment>
    <comment authorId="0" ref="E176">
      <text>
        <t xml:space="preserve">Fecha real. Solo pagos hasta Supuestos!D6 se incluyen en el corte.</t>
      </text>
    </comment>
    <comment authorId="0" ref="F17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4">
      <text>
        <t xml:space="preserve">ID existente y único en Creditos.</t>
      </text>
    </comment>
    <comment authorId="0" ref="G176">
      <text>
        <t xml:space="preserve">Referencia de comprobante y explicación de la imputación.</t>
      </text>
    </comment>
    <comment authorId="0" ref="D44">
      <text>
        <t xml:space="preserve">Cuota específica a la que imputas el pago. Si una transferencia paga varias cuotas, distribúyela en filas separadas por cuota.</t>
      </text>
    </comment>
    <comment authorId="0" ref="H176">
      <text>
        <t xml:space="preserve">Revisar pago si faltan datos o la cuota/crédito no existe. Pagos futuros válidos quedan registrados pero excluidos al corte.</t>
      </text>
    </comment>
    <comment authorId="0" ref="E44">
      <text>
        <t xml:space="preserve">Fecha real. Solo pagos hasta Supuestos!D6 se incluyen en el corte.</t>
      </text>
    </comment>
    <comment authorId="0" ref="F4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4">
      <text>
        <t xml:space="preserve">Referencia de comprobante y explicación de la imputación.</t>
      </text>
    </comment>
    <comment authorId="0" ref="H44">
      <text>
        <t xml:space="preserve">Revisar pago si faltan datos o la cuota/crédito no existe. Pagos futuros válidos quedan registrados pero excluidos al corte.</t>
      </text>
    </comment>
    <comment authorId="0" ref="C177">
      <text>
        <t xml:space="preserve">ID existente y único en Creditos.</t>
      </text>
    </comment>
    <comment authorId="0" ref="D177">
      <text>
        <t xml:space="preserve">Cuota específica a la que imputas el pago. Si una transferencia paga varias cuotas, distribúyela en filas separadas por cuota.</t>
      </text>
    </comment>
    <comment authorId="0" ref="E177">
      <text>
        <t xml:space="preserve">Fecha real. Solo pagos hasta Supuestos!D6 se incluyen en el corte.</t>
      </text>
    </comment>
    <comment authorId="0" ref="F17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5">
      <text>
        <t xml:space="preserve">ID existente y único en Creditos.</t>
      </text>
    </comment>
    <comment authorId="0" ref="G177">
      <text>
        <t xml:space="preserve">Referencia de comprobante y explicación de la imputación.</t>
      </text>
    </comment>
    <comment authorId="0" ref="D45">
      <text>
        <t xml:space="preserve">Cuota específica a la que imputas el pago. Si una transferencia paga varias cuotas, distribúyela en filas separadas por cuota.</t>
      </text>
    </comment>
    <comment authorId="0" ref="H177">
      <text>
        <t xml:space="preserve">Revisar pago si faltan datos o la cuota/crédito no existe. Pagos futuros válidos quedan registrados pero excluidos al corte.</t>
      </text>
    </comment>
    <comment authorId="0" ref="E45">
      <text>
        <t xml:space="preserve">Fecha real. Solo pagos hasta Supuestos!D6 se incluyen en el corte.</t>
      </text>
    </comment>
    <comment authorId="0" ref="F4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5">
      <text>
        <t xml:space="preserve">Referencia de comprobante y explicación de la imputación.</t>
      </text>
    </comment>
    <comment authorId="0" ref="H45">
      <text>
        <t xml:space="preserve">Revisar pago si faltan datos o la cuota/crédito no existe. Pagos futuros válidos quedan registrados pero excluidos al corte.</t>
      </text>
    </comment>
    <comment authorId="0" ref="C178">
      <text>
        <t xml:space="preserve">ID existente y único en Creditos.</t>
      </text>
    </comment>
    <comment authorId="0" ref="D178">
      <text>
        <t xml:space="preserve">Cuota específica a la que imputas el pago. Si una transferencia paga varias cuotas, distribúyela en filas separadas por cuota.</t>
      </text>
    </comment>
    <comment authorId="0" ref="E178">
      <text>
        <t xml:space="preserve">Fecha real. Solo pagos hasta Supuestos!D6 se incluyen en el corte.</t>
      </text>
    </comment>
    <comment authorId="0" ref="F17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6">
      <text>
        <t xml:space="preserve">ID existente y único en Creditos.</t>
      </text>
    </comment>
    <comment authorId="0" ref="G178">
      <text>
        <t xml:space="preserve">Referencia de comprobante y explicación de la imputación.</t>
      </text>
    </comment>
    <comment authorId="0" ref="D46">
      <text>
        <t xml:space="preserve">Cuota específica a la que imputas el pago. Si una transferencia paga varias cuotas, distribúyela en filas separadas por cuota.</t>
      </text>
    </comment>
    <comment authorId="0" ref="H178">
      <text>
        <t xml:space="preserve">Revisar pago si faltan datos o la cuota/crédito no existe. Pagos futuros válidos quedan registrados pero excluidos al corte.</t>
      </text>
    </comment>
    <comment authorId="0" ref="E46">
      <text>
        <t xml:space="preserve">Fecha real. Solo pagos hasta Supuestos!D6 se incluyen en el corte.</t>
      </text>
    </comment>
    <comment authorId="0" ref="F4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6">
      <text>
        <t xml:space="preserve">Referencia de comprobante y explicación de la imputación.</t>
      </text>
    </comment>
    <comment authorId="0" ref="H46">
      <text>
        <t xml:space="preserve">Revisar pago si faltan datos o la cuota/crédito no existe. Pagos futuros válidos quedan registrados pero excluidos al corte.</t>
      </text>
    </comment>
    <comment authorId="0" ref="C179">
      <text>
        <t xml:space="preserve">ID existente y único en Creditos.</t>
      </text>
    </comment>
    <comment authorId="0" ref="D179">
      <text>
        <t xml:space="preserve">Cuota específica a la que imputas el pago. Si una transferencia paga varias cuotas, distribúyela en filas separadas por cuota.</t>
      </text>
    </comment>
    <comment authorId="0" ref="E179">
      <text>
        <t xml:space="preserve">Fecha real. Solo pagos hasta Supuestos!D6 se incluyen en el corte.</t>
      </text>
    </comment>
    <comment authorId="0" ref="F17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7">
      <text>
        <t xml:space="preserve">ID existente y único en Creditos.</t>
      </text>
    </comment>
    <comment authorId="0" ref="G179">
      <text>
        <t xml:space="preserve">Referencia de comprobante y explicación de la imputación.</t>
      </text>
    </comment>
    <comment authorId="0" ref="D47">
      <text>
        <t xml:space="preserve">Cuota específica a la que imputas el pago. Si una transferencia paga varias cuotas, distribúyela en filas separadas por cuota.</t>
      </text>
    </comment>
    <comment authorId="0" ref="H179">
      <text>
        <t xml:space="preserve">Revisar pago si faltan datos o la cuota/crédito no existe. Pagos futuros válidos quedan registrados pero excluidos al corte.</t>
      </text>
    </comment>
    <comment authorId="0" ref="E47">
      <text>
        <t xml:space="preserve">Fecha real. Solo pagos hasta Supuestos!D6 se incluyen en el corte.</t>
      </text>
    </comment>
    <comment authorId="0" ref="F4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7">
      <text>
        <t xml:space="preserve">Referencia de comprobante y explicación de la imputación.</t>
      </text>
    </comment>
    <comment authorId="0" ref="H47">
      <text>
        <t xml:space="preserve">Revisar pago si faltan datos o la cuota/crédito no existe. Pagos futuros válidos quedan registrados pero excluidos al corte.</t>
      </text>
    </comment>
    <comment authorId="0" ref="C180">
      <text>
        <t xml:space="preserve">ID existente y único en Creditos.</t>
      </text>
    </comment>
    <comment authorId="0" ref="D180">
      <text>
        <t xml:space="preserve">Cuota específica a la que imputas el pago. Si una transferencia paga varias cuotas, distribúyela en filas separadas por cuota.</t>
      </text>
    </comment>
    <comment authorId="0" ref="E180">
      <text>
        <t xml:space="preserve">Fecha real. Solo pagos hasta Supuestos!D6 se incluyen en el corte.</t>
      </text>
    </comment>
    <comment authorId="0" ref="F18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8">
      <text>
        <t xml:space="preserve">ID existente y único en Creditos.</t>
      </text>
    </comment>
    <comment authorId="0" ref="G180">
      <text>
        <t xml:space="preserve">Referencia de comprobante y explicación de la imputación.</t>
      </text>
    </comment>
    <comment authorId="0" ref="D48">
      <text>
        <t xml:space="preserve">Cuota específica a la que imputas el pago. Si una transferencia paga varias cuotas, distribúyela en filas separadas por cuota.</t>
      </text>
    </comment>
    <comment authorId="0" ref="H180">
      <text>
        <t xml:space="preserve">Revisar pago si faltan datos o la cuota/crédito no existe. Pagos futuros válidos quedan registrados pero excluidos al corte.</t>
      </text>
    </comment>
    <comment authorId="0" ref="E48">
      <text>
        <t xml:space="preserve">Fecha real. Solo pagos hasta Supuestos!D6 se incluyen en el corte.</t>
      </text>
    </comment>
    <comment authorId="0" ref="F4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8">
      <text>
        <t xml:space="preserve">Referencia de comprobante y explicación de la imputación.</t>
      </text>
    </comment>
    <comment authorId="0" ref="H48">
      <text>
        <t xml:space="preserve">Revisar pago si faltan datos o la cuota/crédito no existe. Pagos futuros válidos quedan registrados pero excluidos al corte.</t>
      </text>
    </comment>
    <comment authorId="0" ref="C181">
      <text>
        <t xml:space="preserve">ID existente y único en Creditos.</t>
      </text>
    </comment>
    <comment authorId="0" ref="D181">
      <text>
        <t xml:space="preserve">Cuota específica a la que imputas el pago. Si una transferencia paga varias cuotas, distribúyela en filas separadas por cuota.</t>
      </text>
    </comment>
    <comment authorId="0" ref="E181">
      <text>
        <t xml:space="preserve">Fecha real. Solo pagos hasta Supuestos!D6 se incluyen en el corte.</t>
      </text>
    </comment>
    <comment authorId="0" ref="F18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49">
      <text>
        <t xml:space="preserve">ID existente y único en Creditos.</t>
      </text>
    </comment>
    <comment authorId="0" ref="G181">
      <text>
        <t xml:space="preserve">Referencia de comprobante y explicación de la imputación.</t>
      </text>
    </comment>
    <comment authorId="0" ref="D49">
      <text>
        <t xml:space="preserve">Cuota específica a la que imputas el pago. Si una transferencia paga varias cuotas, distribúyela en filas separadas por cuota.</t>
      </text>
    </comment>
    <comment authorId="0" ref="H181">
      <text>
        <t xml:space="preserve">Revisar pago si faltan datos o la cuota/crédito no existe. Pagos futuros válidos quedan registrados pero excluidos al corte.</t>
      </text>
    </comment>
    <comment authorId="0" ref="E49">
      <text>
        <t xml:space="preserve">Fecha real. Solo pagos hasta Supuestos!D6 se incluyen en el corte.</t>
      </text>
    </comment>
    <comment authorId="0" ref="F4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49">
      <text>
        <t xml:space="preserve">Referencia de comprobante y explicación de la imputación.</t>
      </text>
    </comment>
    <comment authorId="0" ref="H49">
      <text>
        <t xml:space="preserve">Revisar pago si faltan datos o la cuota/crédito no existe. Pagos futuros válidos quedan registrados pero excluidos al corte.</t>
      </text>
    </comment>
    <comment authorId="0" ref="C182">
      <text>
        <t xml:space="preserve">ID existente y único en Creditos.</t>
      </text>
    </comment>
    <comment authorId="0" ref="D182">
      <text>
        <t xml:space="preserve">Cuota específica a la que imputas el pago. Si una transferencia paga varias cuotas, distribúyela en filas separadas por cuota.</t>
      </text>
    </comment>
    <comment authorId="0" ref="E182">
      <text>
        <t xml:space="preserve">Fecha real. Solo pagos hasta Supuestos!D6 se incluyen en el corte.</t>
      </text>
    </comment>
    <comment authorId="0" ref="F18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0">
      <text>
        <t xml:space="preserve">ID existente y único en Creditos.</t>
      </text>
    </comment>
    <comment authorId="0" ref="G182">
      <text>
        <t xml:space="preserve">Referencia de comprobante y explicación de la imputación.</t>
      </text>
    </comment>
    <comment authorId="0" ref="D50">
      <text>
        <t xml:space="preserve">Cuota específica a la que imputas el pago. Si una transferencia paga varias cuotas, distribúyela en filas separadas por cuota.</t>
      </text>
    </comment>
    <comment authorId="0" ref="H182">
      <text>
        <t xml:space="preserve">Revisar pago si faltan datos o la cuota/crédito no existe. Pagos futuros válidos quedan registrados pero excluidos al corte.</t>
      </text>
    </comment>
    <comment authorId="0" ref="E50">
      <text>
        <t xml:space="preserve">Fecha real. Solo pagos hasta Supuestos!D6 se incluyen en el corte.</t>
      </text>
    </comment>
    <comment authorId="0" ref="F5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0">
      <text>
        <t xml:space="preserve">Referencia de comprobante y explicación de la imputación.</t>
      </text>
    </comment>
    <comment authorId="0" ref="H50">
      <text>
        <t xml:space="preserve">Revisar pago si faltan datos o la cuota/crédito no existe. Pagos futuros válidos quedan registrados pero excluidos al corte.</t>
      </text>
    </comment>
    <comment authorId="0" ref="C183">
      <text>
        <t xml:space="preserve">ID existente y único en Creditos.</t>
      </text>
    </comment>
    <comment authorId="0" ref="D183">
      <text>
        <t xml:space="preserve">Cuota específica a la que imputas el pago. Si una transferencia paga varias cuotas, distribúyela en filas separadas por cuota.</t>
      </text>
    </comment>
    <comment authorId="0" ref="E183">
      <text>
        <t xml:space="preserve">Fecha real. Solo pagos hasta Supuestos!D6 se incluyen en el corte.</t>
      </text>
    </comment>
    <comment authorId="0" ref="F18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1">
      <text>
        <t xml:space="preserve">ID existente y único en Creditos.</t>
      </text>
    </comment>
    <comment authorId="0" ref="G183">
      <text>
        <t xml:space="preserve">Referencia de comprobante y explicación de la imputación.</t>
      </text>
    </comment>
    <comment authorId="0" ref="D51">
      <text>
        <t xml:space="preserve">Cuota específica a la que imputas el pago. Si una transferencia paga varias cuotas, distribúyela en filas separadas por cuota.</t>
      </text>
    </comment>
    <comment authorId="0" ref="H183">
      <text>
        <t xml:space="preserve">Revisar pago si faltan datos o la cuota/crédito no existe. Pagos futuros válidos quedan registrados pero excluidos al corte.</t>
      </text>
    </comment>
    <comment authorId="0" ref="E51">
      <text>
        <t xml:space="preserve">Fecha real. Solo pagos hasta Supuestos!D6 se incluyen en el corte.</t>
      </text>
    </comment>
    <comment authorId="0" ref="F5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1">
      <text>
        <t xml:space="preserve">Referencia de comprobante y explicación de la imputación.</t>
      </text>
    </comment>
    <comment authorId="0" ref="H51">
      <text>
        <t xml:space="preserve">Revisar pago si faltan datos o la cuota/crédito no existe. Pagos futuros válidos quedan registrados pero excluidos al corte.</t>
      </text>
    </comment>
    <comment authorId="0" ref="C184">
      <text>
        <t xml:space="preserve">ID existente y único en Creditos.</t>
      </text>
    </comment>
    <comment authorId="0" ref="D184">
      <text>
        <t xml:space="preserve">Cuota específica a la que imputas el pago. Si una transferencia paga varias cuotas, distribúyela en filas separadas por cuota.</t>
      </text>
    </comment>
    <comment authorId="0" ref="E184">
      <text>
        <t xml:space="preserve">Fecha real. Solo pagos hasta Supuestos!D6 se incluyen en el corte.</t>
      </text>
    </comment>
    <comment authorId="0" ref="F18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2">
      <text>
        <t xml:space="preserve">ID existente y único en Creditos.</t>
      </text>
    </comment>
    <comment authorId="0" ref="G184">
      <text>
        <t xml:space="preserve">Referencia de comprobante y explicación de la imputación.</t>
      </text>
    </comment>
    <comment authorId="0" ref="D52">
      <text>
        <t xml:space="preserve">Cuota específica a la que imputas el pago. Si una transferencia paga varias cuotas, distribúyela en filas separadas por cuota.</t>
      </text>
    </comment>
    <comment authorId="0" ref="H184">
      <text>
        <t xml:space="preserve">Revisar pago si faltan datos o la cuota/crédito no existe. Pagos futuros válidos quedan registrados pero excluidos al corte.</t>
      </text>
    </comment>
    <comment authorId="0" ref="E52">
      <text>
        <t xml:space="preserve">Fecha real. Solo pagos hasta Supuestos!D6 se incluyen en el corte.</t>
      </text>
    </comment>
    <comment authorId="0" ref="F5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2">
      <text>
        <t xml:space="preserve">Referencia de comprobante y explicación de la imputación.</t>
      </text>
    </comment>
    <comment authorId="0" ref="H52">
      <text>
        <t xml:space="preserve">Revisar pago si faltan datos o la cuota/crédito no existe. Pagos futuros válidos quedan registrados pero excluidos al corte.</t>
      </text>
    </comment>
    <comment authorId="0" ref="C185">
      <text>
        <t xml:space="preserve">ID existente y único en Creditos.</t>
      </text>
    </comment>
    <comment authorId="0" ref="D185">
      <text>
        <t xml:space="preserve">Cuota específica a la que imputas el pago. Si una transferencia paga varias cuotas, distribúyela en filas separadas por cuota.</t>
      </text>
    </comment>
    <comment authorId="0" ref="E185">
      <text>
        <t xml:space="preserve">Fecha real. Solo pagos hasta Supuestos!D6 se incluyen en el corte.</t>
      </text>
    </comment>
    <comment authorId="0" ref="F18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3">
      <text>
        <t xml:space="preserve">ID existente y único en Creditos.</t>
      </text>
    </comment>
    <comment authorId="0" ref="G185">
      <text>
        <t xml:space="preserve">Referencia de comprobante y explicación de la imputación.</t>
      </text>
    </comment>
    <comment authorId="0" ref="D53">
      <text>
        <t xml:space="preserve">Cuota específica a la que imputas el pago. Si una transferencia paga varias cuotas, distribúyela en filas separadas por cuota.</t>
      </text>
    </comment>
    <comment authorId="0" ref="H185">
      <text>
        <t xml:space="preserve">Revisar pago si faltan datos o la cuota/crédito no existe. Pagos futuros válidos quedan registrados pero excluidos al corte.</t>
      </text>
    </comment>
    <comment authorId="0" ref="E53">
      <text>
        <t xml:space="preserve">Fecha real. Solo pagos hasta Supuestos!D6 se incluyen en el corte.</t>
      </text>
    </comment>
    <comment authorId="0" ref="F5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3">
      <text>
        <t xml:space="preserve">Referencia de comprobante y explicación de la imputación.</t>
      </text>
    </comment>
    <comment authorId="0" ref="H53">
      <text>
        <t xml:space="preserve">Revisar pago si faltan datos o la cuota/crédito no existe. Pagos futuros válidos quedan registrados pero excluidos al corte.</t>
      </text>
    </comment>
    <comment authorId="0" ref="C186">
      <text>
        <t xml:space="preserve">ID existente y único en Creditos.</t>
      </text>
    </comment>
    <comment authorId="0" ref="D186">
      <text>
        <t xml:space="preserve">Cuota específica a la que imputas el pago. Si una transferencia paga varias cuotas, distribúyela en filas separadas por cuota.</t>
      </text>
    </comment>
    <comment authorId="0" ref="E186">
      <text>
        <t xml:space="preserve">Fecha real. Solo pagos hasta Supuestos!D6 se incluyen en el corte.</t>
      </text>
    </comment>
    <comment authorId="0" ref="F18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4">
      <text>
        <t xml:space="preserve">ID existente y único en Creditos.</t>
      </text>
    </comment>
    <comment authorId="0" ref="G186">
      <text>
        <t xml:space="preserve">Referencia de comprobante y explicación de la imputación.</t>
      </text>
    </comment>
    <comment authorId="0" ref="D54">
      <text>
        <t xml:space="preserve">Cuota específica a la que imputas el pago. Si una transferencia paga varias cuotas, distribúyela en filas separadas por cuota.</t>
      </text>
    </comment>
    <comment authorId="0" ref="H186">
      <text>
        <t xml:space="preserve">Revisar pago si faltan datos o la cuota/crédito no existe. Pagos futuros válidos quedan registrados pero excluidos al corte.</t>
      </text>
    </comment>
    <comment authorId="0" ref="E54">
      <text>
        <t xml:space="preserve">Fecha real. Solo pagos hasta Supuestos!D6 se incluyen en el corte.</t>
      </text>
    </comment>
    <comment authorId="0" ref="F5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4">
      <text>
        <t xml:space="preserve">Referencia de comprobante y explicación de la imputación.</t>
      </text>
    </comment>
    <comment authorId="0" ref="H54">
      <text>
        <t xml:space="preserve">Revisar pago si faltan datos o la cuota/crédito no existe. Pagos futuros válidos quedan registrados pero excluidos al corte.</t>
      </text>
    </comment>
    <comment authorId="0" ref="C187">
      <text>
        <t xml:space="preserve">ID existente y único en Creditos.</t>
      </text>
    </comment>
    <comment authorId="0" ref="D187">
      <text>
        <t xml:space="preserve">Cuota específica a la que imputas el pago. Si una transferencia paga varias cuotas, distribúyela en filas separadas por cuota.</t>
      </text>
    </comment>
    <comment authorId="0" ref="E187">
      <text>
        <t xml:space="preserve">Fecha real. Solo pagos hasta Supuestos!D6 se incluyen en el corte.</t>
      </text>
    </comment>
    <comment authorId="0" ref="F18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5">
      <text>
        <t xml:space="preserve">ID existente y único en Creditos.</t>
      </text>
    </comment>
    <comment authorId="0" ref="G187">
      <text>
        <t xml:space="preserve">Referencia de comprobante y explicación de la imputación.</t>
      </text>
    </comment>
    <comment authorId="0" ref="D55">
      <text>
        <t xml:space="preserve">Cuota específica a la que imputas el pago. Si una transferencia paga varias cuotas, distribúyela en filas separadas por cuota.</t>
      </text>
    </comment>
    <comment authorId="0" ref="H187">
      <text>
        <t xml:space="preserve">Revisar pago si faltan datos o la cuota/crédito no existe. Pagos futuros válidos quedan registrados pero excluidos al corte.</t>
      </text>
    </comment>
    <comment authorId="0" ref="E55">
      <text>
        <t xml:space="preserve">Fecha real. Solo pagos hasta Supuestos!D6 se incluyen en el corte.</t>
      </text>
    </comment>
    <comment authorId="0" ref="F5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5">
      <text>
        <t xml:space="preserve">Referencia de comprobante y explicación de la imputación.</t>
      </text>
    </comment>
    <comment authorId="0" ref="H55">
      <text>
        <t xml:space="preserve">Revisar pago si faltan datos o la cuota/crédito no existe. Pagos futuros válidos quedan registrados pero excluidos al corte.</t>
      </text>
    </comment>
    <comment authorId="0" ref="C188">
      <text>
        <t xml:space="preserve">ID existente y único en Creditos.</t>
      </text>
    </comment>
    <comment authorId="0" ref="D188">
      <text>
        <t xml:space="preserve">Cuota específica a la que imputas el pago. Si una transferencia paga varias cuotas, distribúyela en filas separadas por cuota.</t>
      </text>
    </comment>
    <comment authorId="0" ref="E188">
      <text>
        <t xml:space="preserve">Fecha real. Solo pagos hasta Supuestos!D6 se incluyen en el corte.</t>
      </text>
    </comment>
    <comment authorId="0" ref="F18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6">
      <text>
        <t xml:space="preserve">ID existente y único en Creditos.</t>
      </text>
    </comment>
    <comment authorId="0" ref="G188">
      <text>
        <t xml:space="preserve">Referencia de comprobante y explicación de la imputación.</t>
      </text>
    </comment>
    <comment authorId="0" ref="D56">
      <text>
        <t xml:space="preserve">Cuota específica a la que imputas el pago. Si una transferencia paga varias cuotas, distribúyela en filas separadas por cuota.</t>
      </text>
    </comment>
    <comment authorId="0" ref="H188">
      <text>
        <t xml:space="preserve">Revisar pago si faltan datos o la cuota/crédito no existe. Pagos futuros válidos quedan registrados pero excluidos al corte.</t>
      </text>
    </comment>
    <comment authorId="0" ref="E56">
      <text>
        <t xml:space="preserve">Fecha real. Solo pagos hasta Supuestos!D6 se incluyen en el corte.</t>
      </text>
    </comment>
    <comment authorId="0" ref="F5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6">
      <text>
        <t xml:space="preserve">Referencia de comprobante y explicación de la imputación.</t>
      </text>
    </comment>
    <comment authorId="0" ref="H56">
      <text>
        <t xml:space="preserve">Revisar pago si faltan datos o la cuota/crédito no existe. Pagos futuros válidos quedan registrados pero excluidos al corte.</t>
      </text>
    </comment>
    <comment authorId="0" ref="C189">
      <text>
        <t xml:space="preserve">ID existente y único en Creditos.</t>
      </text>
    </comment>
    <comment authorId="0" ref="D189">
      <text>
        <t xml:space="preserve">Cuota específica a la que imputas el pago. Si una transferencia paga varias cuotas, distribúyela en filas separadas por cuota.</t>
      </text>
    </comment>
    <comment authorId="0" ref="E189">
      <text>
        <t xml:space="preserve">Fecha real. Solo pagos hasta Supuestos!D6 se incluyen en el corte.</t>
      </text>
    </comment>
    <comment authorId="0" ref="F18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7">
      <text>
        <t xml:space="preserve">ID existente y único en Creditos.</t>
      </text>
    </comment>
    <comment authorId="0" ref="G189">
      <text>
        <t xml:space="preserve">Referencia de comprobante y explicación de la imputación.</t>
      </text>
    </comment>
    <comment authorId="0" ref="D57">
      <text>
        <t xml:space="preserve">Cuota específica a la que imputas el pago. Si una transferencia paga varias cuotas, distribúyela en filas separadas por cuota.</t>
      </text>
    </comment>
    <comment authorId="0" ref="H189">
      <text>
        <t xml:space="preserve">Revisar pago si faltan datos o la cuota/crédito no existe. Pagos futuros válidos quedan registrados pero excluidos al corte.</t>
      </text>
    </comment>
    <comment authorId="0" ref="E57">
      <text>
        <t xml:space="preserve">Fecha real. Solo pagos hasta Supuestos!D6 se incluyen en el corte.</t>
      </text>
    </comment>
    <comment authorId="0" ref="F5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7">
      <text>
        <t xml:space="preserve">Referencia de comprobante y explicación de la imputación.</t>
      </text>
    </comment>
    <comment authorId="0" ref="H57">
      <text>
        <t xml:space="preserve">Revisar pago si faltan datos o la cuota/crédito no existe. Pagos futuros válidos quedan registrados pero excluidos al corte.</t>
      </text>
    </comment>
    <comment authorId="0" ref="C190">
      <text>
        <t xml:space="preserve">ID existente y único en Creditos.</t>
      </text>
    </comment>
    <comment authorId="0" ref="D190">
      <text>
        <t xml:space="preserve">Cuota específica a la que imputas el pago. Si una transferencia paga varias cuotas, distribúyela en filas separadas por cuota.</t>
      </text>
    </comment>
    <comment authorId="0" ref="E190">
      <text>
        <t xml:space="preserve">Fecha real. Solo pagos hasta Supuestos!D6 se incluyen en el corte.</t>
      </text>
    </comment>
    <comment authorId="0" ref="F19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8">
      <text>
        <t xml:space="preserve">ID existente y único en Creditos.</t>
      </text>
    </comment>
    <comment authorId="0" ref="G190">
      <text>
        <t xml:space="preserve">Referencia de comprobante y explicación de la imputación.</t>
      </text>
    </comment>
    <comment authorId="0" ref="D58">
      <text>
        <t xml:space="preserve">Cuota específica a la que imputas el pago. Si una transferencia paga varias cuotas, distribúyela en filas separadas por cuota.</t>
      </text>
    </comment>
    <comment authorId="0" ref="H190">
      <text>
        <t xml:space="preserve">Revisar pago si faltan datos o la cuota/crédito no existe. Pagos futuros válidos quedan registrados pero excluidos al corte.</t>
      </text>
    </comment>
    <comment authorId="0" ref="E58">
      <text>
        <t xml:space="preserve">Fecha real. Solo pagos hasta Supuestos!D6 se incluyen en el corte.</t>
      </text>
    </comment>
    <comment authorId="0" ref="F5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8">
      <text>
        <t xml:space="preserve">Referencia de comprobante y explicación de la imputación.</t>
      </text>
    </comment>
    <comment authorId="0" ref="H58">
      <text>
        <t xml:space="preserve">Revisar pago si faltan datos o la cuota/crédito no existe. Pagos futuros válidos quedan registrados pero excluidos al corte.</t>
      </text>
    </comment>
    <comment authorId="0" ref="C191">
      <text>
        <t xml:space="preserve">ID existente y único en Creditos.</t>
      </text>
    </comment>
    <comment authorId="0" ref="D191">
      <text>
        <t xml:space="preserve">Cuota específica a la que imputas el pago. Si una transferencia paga varias cuotas, distribúyela en filas separadas por cuota.</t>
      </text>
    </comment>
    <comment authorId="0" ref="E191">
      <text>
        <t xml:space="preserve">Fecha real. Solo pagos hasta Supuestos!D6 se incluyen en el corte.</t>
      </text>
    </comment>
    <comment authorId="0" ref="F19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59">
      <text>
        <t xml:space="preserve">ID existente y único en Creditos.</t>
      </text>
    </comment>
    <comment authorId="0" ref="G191">
      <text>
        <t xml:space="preserve">Referencia de comprobante y explicación de la imputación.</t>
      </text>
    </comment>
    <comment authorId="0" ref="D59">
      <text>
        <t xml:space="preserve">Cuota específica a la que imputas el pago. Si una transferencia paga varias cuotas, distribúyela en filas separadas por cuota.</t>
      </text>
    </comment>
    <comment authorId="0" ref="H191">
      <text>
        <t xml:space="preserve">Revisar pago si faltan datos o la cuota/crédito no existe. Pagos futuros válidos quedan registrados pero excluidos al corte.</t>
      </text>
    </comment>
    <comment authorId="0" ref="E59">
      <text>
        <t xml:space="preserve">Fecha real. Solo pagos hasta Supuestos!D6 se incluyen en el corte.</t>
      </text>
    </comment>
    <comment authorId="0" ref="F5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59">
      <text>
        <t xml:space="preserve">Referencia de comprobante y explicación de la imputación.</t>
      </text>
    </comment>
    <comment authorId="0" ref="H59">
      <text>
        <t xml:space="preserve">Revisar pago si faltan datos o la cuota/crédito no existe. Pagos futuros válidos quedan registrados pero excluidos al corte.</t>
      </text>
    </comment>
    <comment authorId="0" ref="C192">
      <text>
        <t xml:space="preserve">ID existente y único en Creditos.</t>
      </text>
    </comment>
    <comment authorId="0" ref="D192">
      <text>
        <t xml:space="preserve">Cuota específica a la que imputas el pago. Si una transferencia paga varias cuotas, distribúyela en filas separadas por cuota.</t>
      </text>
    </comment>
    <comment authorId="0" ref="E192">
      <text>
        <t xml:space="preserve">Fecha real. Solo pagos hasta Supuestos!D6 se incluyen en el corte.</t>
      </text>
    </comment>
    <comment authorId="0" ref="F19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0">
      <text>
        <t xml:space="preserve">ID existente y único en Creditos.</t>
      </text>
    </comment>
    <comment authorId="0" ref="G192">
      <text>
        <t xml:space="preserve">Referencia de comprobante y explicación de la imputación.</t>
      </text>
    </comment>
    <comment authorId="0" ref="D60">
      <text>
        <t xml:space="preserve">Cuota específica a la que imputas el pago. Si una transferencia paga varias cuotas, distribúyela en filas separadas por cuota.</t>
      </text>
    </comment>
    <comment authorId="0" ref="H192">
      <text>
        <t xml:space="preserve">Revisar pago si faltan datos o la cuota/crédito no existe. Pagos futuros válidos quedan registrados pero excluidos al corte.</t>
      </text>
    </comment>
    <comment authorId="0" ref="E60">
      <text>
        <t xml:space="preserve">Fecha real. Solo pagos hasta Supuestos!D6 se incluyen en el corte.</t>
      </text>
    </comment>
    <comment authorId="0" ref="F6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0">
      <text>
        <t xml:space="preserve">Referencia de comprobante y explicación de la imputación.</t>
      </text>
    </comment>
    <comment authorId="0" ref="H60">
      <text>
        <t xml:space="preserve">Revisar pago si faltan datos o la cuota/crédito no existe. Pagos futuros válidos quedan registrados pero excluidos al corte.</t>
      </text>
    </comment>
    <comment authorId="0" ref="C193">
      <text>
        <t xml:space="preserve">ID existente y único en Creditos.</t>
      </text>
    </comment>
    <comment authorId="0" ref="D193">
      <text>
        <t xml:space="preserve">Cuota específica a la que imputas el pago. Si una transferencia paga varias cuotas, distribúyela en filas separadas por cuota.</t>
      </text>
    </comment>
    <comment authorId="0" ref="E193">
      <text>
        <t xml:space="preserve">Fecha real. Solo pagos hasta Supuestos!D6 se incluyen en el corte.</t>
      </text>
    </comment>
    <comment authorId="0" ref="F19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1">
      <text>
        <t xml:space="preserve">ID existente y único en Creditos.</t>
      </text>
    </comment>
    <comment authorId="0" ref="G193">
      <text>
        <t xml:space="preserve">Referencia de comprobante y explicación de la imputación.</t>
      </text>
    </comment>
    <comment authorId="0" ref="D61">
      <text>
        <t xml:space="preserve">Cuota específica a la que imputas el pago. Si una transferencia paga varias cuotas, distribúyela en filas separadas por cuota.</t>
      </text>
    </comment>
    <comment authorId="0" ref="H193">
      <text>
        <t xml:space="preserve">Revisar pago si faltan datos o la cuota/crédito no existe. Pagos futuros válidos quedan registrados pero excluidos al corte.</t>
      </text>
    </comment>
    <comment authorId="0" ref="E61">
      <text>
        <t xml:space="preserve">Fecha real. Solo pagos hasta Supuestos!D6 se incluyen en el corte.</t>
      </text>
    </comment>
    <comment authorId="0" ref="F6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1">
      <text>
        <t xml:space="preserve">Referencia de comprobante y explicación de la imputación.</t>
      </text>
    </comment>
    <comment authorId="0" ref="H61">
      <text>
        <t xml:space="preserve">Revisar pago si faltan datos o la cuota/crédito no existe. Pagos futuros válidos quedan registrados pero excluidos al corte.</t>
      </text>
    </comment>
    <comment authorId="0" ref="C194">
      <text>
        <t xml:space="preserve">ID existente y único en Creditos.</t>
      </text>
    </comment>
    <comment authorId="0" ref="D194">
      <text>
        <t xml:space="preserve">Cuota específica a la que imputas el pago. Si una transferencia paga varias cuotas, distribúyela en filas separadas por cuota.</t>
      </text>
    </comment>
    <comment authorId="0" ref="E194">
      <text>
        <t xml:space="preserve">Fecha real. Solo pagos hasta Supuestos!D6 se incluyen en el corte.</t>
      </text>
    </comment>
    <comment authorId="0" ref="F19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2">
      <text>
        <t xml:space="preserve">ID existente y único en Creditos.</t>
      </text>
    </comment>
    <comment authorId="0" ref="G194">
      <text>
        <t xml:space="preserve">Referencia de comprobante y explicación de la imputación.</t>
      </text>
    </comment>
    <comment authorId="0" ref="D62">
      <text>
        <t xml:space="preserve">Cuota específica a la que imputas el pago. Si una transferencia paga varias cuotas, distribúyela en filas separadas por cuota.</t>
      </text>
    </comment>
    <comment authorId="0" ref="H194">
      <text>
        <t xml:space="preserve">Revisar pago si faltan datos o la cuota/crédito no existe. Pagos futuros válidos quedan registrados pero excluidos al corte.</t>
      </text>
    </comment>
    <comment authorId="0" ref="E62">
      <text>
        <t xml:space="preserve">Fecha real. Solo pagos hasta Supuestos!D6 se incluyen en el corte.</t>
      </text>
    </comment>
    <comment authorId="0" ref="F6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2">
      <text>
        <t xml:space="preserve">Referencia de comprobante y explicación de la imputación.</t>
      </text>
    </comment>
    <comment authorId="0" ref="H62">
      <text>
        <t xml:space="preserve">Revisar pago si faltan datos o la cuota/crédito no existe. Pagos futuros válidos quedan registrados pero excluidos al corte.</t>
      </text>
    </comment>
    <comment authorId="0" ref="C195">
      <text>
        <t xml:space="preserve">ID existente y único en Creditos.</t>
      </text>
    </comment>
    <comment authorId="0" ref="D195">
      <text>
        <t xml:space="preserve">Cuota específica a la que imputas el pago. Si una transferencia paga varias cuotas, distribúyela en filas separadas por cuota.</t>
      </text>
    </comment>
    <comment authorId="0" ref="E195">
      <text>
        <t xml:space="preserve">Fecha real. Solo pagos hasta Supuestos!D6 se incluyen en el corte.</t>
      </text>
    </comment>
    <comment authorId="0" ref="F19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3">
      <text>
        <t xml:space="preserve">ID existente y único en Creditos.</t>
      </text>
    </comment>
    <comment authorId="0" ref="G195">
      <text>
        <t xml:space="preserve">Referencia de comprobante y explicación de la imputación.</t>
      </text>
    </comment>
    <comment authorId="0" ref="D63">
      <text>
        <t xml:space="preserve">Cuota específica a la que imputas el pago. Si una transferencia paga varias cuotas, distribúyela en filas separadas por cuota.</t>
      </text>
    </comment>
    <comment authorId="0" ref="H195">
      <text>
        <t xml:space="preserve">Revisar pago si faltan datos o la cuota/crédito no existe. Pagos futuros válidos quedan registrados pero excluidos al corte.</t>
      </text>
    </comment>
    <comment authorId="0" ref="E63">
      <text>
        <t xml:space="preserve">Fecha real. Solo pagos hasta Supuestos!D6 se incluyen en el corte.</t>
      </text>
    </comment>
    <comment authorId="0" ref="F6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3">
      <text>
        <t xml:space="preserve">Referencia de comprobante y explicación de la imputación.</t>
      </text>
    </comment>
    <comment authorId="0" ref="H63">
      <text>
        <t xml:space="preserve">Revisar pago si faltan datos o la cuota/crédito no existe. Pagos futuros válidos quedan registrados pero excluidos al corte.</t>
      </text>
    </comment>
    <comment authorId="0" ref="C196">
      <text>
        <t xml:space="preserve">ID existente y único en Creditos.</t>
      </text>
    </comment>
    <comment authorId="0" ref="D196">
      <text>
        <t xml:space="preserve">Cuota específica a la que imputas el pago. Si una transferencia paga varias cuotas, distribúyela en filas separadas por cuota.</t>
      </text>
    </comment>
    <comment authorId="0" ref="E196">
      <text>
        <t xml:space="preserve">Fecha real. Solo pagos hasta Supuestos!D6 se incluyen en el corte.</t>
      </text>
    </comment>
    <comment authorId="0" ref="F19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4">
      <text>
        <t xml:space="preserve">ID existente y único en Creditos.</t>
      </text>
    </comment>
    <comment authorId="0" ref="G196">
      <text>
        <t xml:space="preserve">Referencia de comprobante y explicación de la imputación.</t>
      </text>
    </comment>
    <comment authorId="0" ref="D64">
      <text>
        <t xml:space="preserve">Cuota específica a la que imputas el pago. Si una transferencia paga varias cuotas, distribúyela en filas separadas por cuota.</t>
      </text>
    </comment>
    <comment authorId="0" ref="H196">
      <text>
        <t xml:space="preserve">Revisar pago si faltan datos o la cuota/crédito no existe. Pagos futuros válidos quedan registrados pero excluidos al corte.</t>
      </text>
    </comment>
    <comment authorId="0" ref="E64">
      <text>
        <t xml:space="preserve">Fecha real. Solo pagos hasta Supuestos!D6 se incluyen en el corte.</t>
      </text>
    </comment>
    <comment authorId="0" ref="F6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4">
      <text>
        <t xml:space="preserve">Referencia de comprobante y explicación de la imputación.</t>
      </text>
    </comment>
    <comment authorId="0" ref="H64">
      <text>
        <t xml:space="preserve">Revisar pago si faltan datos o la cuota/crédito no existe. Pagos futuros válidos quedan registrados pero excluidos al corte.</t>
      </text>
    </comment>
    <comment authorId="0" ref="C197">
      <text>
        <t xml:space="preserve">ID existente y único en Creditos.</t>
      </text>
    </comment>
    <comment authorId="0" ref="D197">
      <text>
        <t xml:space="preserve">Cuota específica a la que imputas el pago. Si una transferencia paga varias cuotas, distribúyela en filas separadas por cuota.</t>
      </text>
    </comment>
    <comment authorId="0" ref="E197">
      <text>
        <t xml:space="preserve">Fecha real. Solo pagos hasta Supuestos!D6 se incluyen en el corte.</t>
      </text>
    </comment>
    <comment authorId="0" ref="F19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5">
      <text>
        <t xml:space="preserve">ID existente y único en Creditos.</t>
      </text>
    </comment>
    <comment authorId="0" ref="G197">
      <text>
        <t xml:space="preserve">Referencia de comprobante y explicación de la imputación.</t>
      </text>
    </comment>
    <comment authorId="0" ref="D65">
      <text>
        <t xml:space="preserve">Cuota específica a la que imputas el pago. Si una transferencia paga varias cuotas, distribúyela en filas separadas por cuota.</t>
      </text>
    </comment>
    <comment authorId="0" ref="H197">
      <text>
        <t xml:space="preserve">Revisar pago si faltan datos o la cuota/crédito no existe. Pagos futuros válidos quedan registrados pero excluidos al corte.</t>
      </text>
    </comment>
    <comment authorId="0" ref="E65">
      <text>
        <t xml:space="preserve">Fecha real. Solo pagos hasta Supuestos!D6 se incluyen en el corte.</t>
      </text>
    </comment>
    <comment authorId="0" ref="F6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5">
      <text>
        <t xml:space="preserve">Referencia de comprobante y explicación de la imputación.</t>
      </text>
    </comment>
    <comment authorId="0" ref="H65">
      <text>
        <t xml:space="preserve">Revisar pago si faltan datos o la cuota/crédito no existe. Pagos futuros válidos quedan registrados pero excluidos al corte.</t>
      </text>
    </comment>
    <comment authorId="0" ref="C198">
      <text>
        <t xml:space="preserve">ID existente y único en Creditos.</t>
      </text>
    </comment>
    <comment authorId="0" ref="D198">
      <text>
        <t xml:space="preserve">Cuota específica a la que imputas el pago. Si una transferencia paga varias cuotas, distribúyela en filas separadas por cuota.</t>
      </text>
    </comment>
    <comment authorId="0" ref="E198">
      <text>
        <t xml:space="preserve">Fecha real. Solo pagos hasta Supuestos!D6 se incluyen en el corte.</t>
      </text>
    </comment>
    <comment authorId="0" ref="F19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6">
      <text>
        <t xml:space="preserve">ID existente y único en Creditos.</t>
      </text>
    </comment>
    <comment authorId="0" ref="G198">
      <text>
        <t xml:space="preserve">Referencia de comprobante y explicación de la imputación.</t>
      </text>
    </comment>
    <comment authorId="0" ref="D66">
      <text>
        <t xml:space="preserve">Cuota específica a la que imputas el pago. Si una transferencia paga varias cuotas, distribúyela en filas separadas por cuota.</t>
      </text>
    </comment>
    <comment authorId="0" ref="H198">
      <text>
        <t xml:space="preserve">Revisar pago si faltan datos o la cuota/crédito no existe. Pagos futuros válidos quedan registrados pero excluidos al corte.</t>
      </text>
    </comment>
    <comment authorId="0" ref="E66">
      <text>
        <t xml:space="preserve">Fecha real. Solo pagos hasta Supuestos!D6 se incluyen en el corte.</t>
      </text>
    </comment>
    <comment authorId="0" ref="F6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6">
      <text>
        <t xml:space="preserve">Referencia de comprobante y explicación de la imputación.</t>
      </text>
    </comment>
    <comment authorId="0" ref="H66">
      <text>
        <t xml:space="preserve">Revisar pago si faltan datos o la cuota/crédito no existe. Pagos futuros válidos quedan registrados pero excluidos al corte.</t>
      </text>
    </comment>
    <comment authorId="0" ref="C199">
      <text>
        <t xml:space="preserve">ID existente y único en Creditos.</t>
      </text>
    </comment>
    <comment authorId="0" ref="D199">
      <text>
        <t xml:space="preserve">Cuota específica a la que imputas el pago. Si una transferencia paga varias cuotas, distribúyela en filas separadas por cuota.</t>
      </text>
    </comment>
    <comment authorId="0" ref="E199">
      <text>
        <t xml:space="preserve">Fecha real. Solo pagos hasta Supuestos!D6 se incluyen en el corte.</t>
      </text>
    </comment>
    <comment authorId="0" ref="F19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7">
      <text>
        <t xml:space="preserve">ID existente y único en Creditos.</t>
      </text>
    </comment>
    <comment authorId="0" ref="G199">
      <text>
        <t xml:space="preserve">Referencia de comprobante y explicación de la imputación.</t>
      </text>
    </comment>
    <comment authorId="0" ref="D67">
      <text>
        <t xml:space="preserve">Cuota específica a la que imputas el pago. Si una transferencia paga varias cuotas, distribúyela en filas separadas por cuota.</t>
      </text>
    </comment>
    <comment authorId="0" ref="H199">
      <text>
        <t xml:space="preserve">Revisar pago si faltan datos o la cuota/crédito no existe. Pagos futuros válidos quedan registrados pero excluidos al corte.</t>
      </text>
    </comment>
    <comment authorId="0" ref="E67">
      <text>
        <t xml:space="preserve">Fecha real. Solo pagos hasta Supuestos!D6 se incluyen en el corte.</t>
      </text>
    </comment>
    <comment authorId="0" ref="F6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7">
      <text>
        <t xml:space="preserve">Referencia de comprobante y explicación de la imputación.</t>
      </text>
    </comment>
    <comment authorId="0" ref="H67">
      <text>
        <t xml:space="preserve">Revisar pago si faltan datos o la cuota/crédito no existe. Pagos futuros válidos quedan registrados pero excluidos al corte.</t>
      </text>
    </comment>
    <comment authorId="0" ref="C200">
      <text>
        <t xml:space="preserve">ID existente y único en Creditos.</t>
      </text>
    </comment>
    <comment authorId="0" ref="D200">
      <text>
        <t xml:space="preserve">Cuota específica a la que imputas el pago. Si una transferencia paga varias cuotas, distribúyela en filas separadas por cuota.</t>
      </text>
    </comment>
    <comment authorId="0" ref="E200">
      <text>
        <t xml:space="preserve">Fecha real. Solo pagos hasta Supuestos!D6 se incluyen en el corte.</t>
      </text>
    </comment>
    <comment authorId="0" ref="F20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8">
      <text>
        <t xml:space="preserve">ID existente y único en Creditos.</t>
      </text>
    </comment>
    <comment authorId="0" ref="G200">
      <text>
        <t xml:space="preserve">Referencia de comprobante y explicación de la imputación.</t>
      </text>
    </comment>
    <comment authorId="0" ref="D68">
      <text>
        <t xml:space="preserve">Cuota específica a la que imputas el pago. Si una transferencia paga varias cuotas, distribúyela en filas separadas por cuota.</t>
      </text>
    </comment>
    <comment authorId="0" ref="H200">
      <text>
        <t xml:space="preserve">Revisar pago si faltan datos o la cuota/crédito no existe. Pagos futuros válidos quedan registrados pero excluidos al corte.</t>
      </text>
    </comment>
    <comment authorId="0" ref="E68">
      <text>
        <t xml:space="preserve">Fecha real. Solo pagos hasta Supuestos!D6 se incluyen en el corte.</t>
      </text>
    </comment>
    <comment authorId="0" ref="F6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8">
      <text>
        <t xml:space="preserve">Referencia de comprobante y explicación de la imputación.</t>
      </text>
    </comment>
    <comment authorId="0" ref="H68">
      <text>
        <t xml:space="preserve">Revisar pago si faltan datos o la cuota/crédito no existe. Pagos futuros válidos quedan registrados pero excluidos al corte.</t>
      </text>
    </comment>
    <comment authorId="0" ref="C201">
      <text>
        <t xml:space="preserve">ID existente y único en Creditos.</t>
      </text>
    </comment>
    <comment authorId="0" ref="D201">
      <text>
        <t xml:space="preserve">Cuota específica a la que imputas el pago. Si una transferencia paga varias cuotas, distribúyela en filas separadas por cuota.</t>
      </text>
    </comment>
    <comment authorId="0" ref="E201">
      <text>
        <t xml:space="preserve">Fecha real. Solo pagos hasta Supuestos!D6 se incluyen en el corte.</t>
      </text>
    </comment>
    <comment authorId="0" ref="F20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69">
      <text>
        <t xml:space="preserve">ID existente y único en Creditos.</t>
      </text>
    </comment>
    <comment authorId="0" ref="G201">
      <text>
        <t xml:space="preserve">Referencia de comprobante y explicación de la imputación.</t>
      </text>
    </comment>
    <comment authorId="0" ref="D69">
      <text>
        <t xml:space="preserve">Cuota específica a la que imputas el pago. Si una transferencia paga varias cuotas, distribúyela en filas separadas por cuota.</t>
      </text>
    </comment>
    <comment authorId="0" ref="H201">
      <text>
        <t xml:space="preserve">Revisar pago si faltan datos o la cuota/crédito no existe. Pagos futuros válidos quedan registrados pero excluidos al corte.</t>
      </text>
    </comment>
    <comment authorId="0" ref="E69">
      <text>
        <t xml:space="preserve">Fecha real. Solo pagos hasta Supuestos!D6 se incluyen en el corte.</t>
      </text>
    </comment>
    <comment authorId="0" ref="F6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69">
      <text>
        <t xml:space="preserve">Referencia de comprobante y explicación de la imputación.</t>
      </text>
    </comment>
    <comment authorId="0" ref="H69">
      <text>
        <t xml:space="preserve">Revisar pago si faltan datos o la cuota/crédito no existe. Pagos futuros válidos quedan registrados pero excluidos al corte.</t>
      </text>
    </comment>
    <comment authorId="0" ref="C202">
      <text>
        <t xml:space="preserve">ID existente y único en Creditos.</t>
      </text>
    </comment>
    <comment authorId="0" ref="D202">
      <text>
        <t xml:space="preserve">Cuota específica a la que imputas el pago. Si una transferencia paga varias cuotas, distribúyela en filas separadas por cuota.</t>
      </text>
    </comment>
    <comment authorId="0" ref="E202">
      <text>
        <t xml:space="preserve">Fecha real. Solo pagos hasta Supuestos!D6 se incluyen en el corte.</t>
      </text>
    </comment>
    <comment authorId="0" ref="F20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0">
      <text>
        <t xml:space="preserve">ID existente y único en Creditos.</t>
      </text>
    </comment>
    <comment authorId="0" ref="G202">
      <text>
        <t xml:space="preserve">Referencia de comprobante y explicación de la imputación.</t>
      </text>
    </comment>
    <comment authorId="0" ref="D70">
      <text>
        <t xml:space="preserve">Cuota específica a la que imputas el pago. Si una transferencia paga varias cuotas, distribúyela en filas separadas por cuota.</t>
      </text>
    </comment>
    <comment authorId="0" ref="H202">
      <text>
        <t xml:space="preserve">Revisar pago si faltan datos o la cuota/crédito no existe. Pagos futuros válidos quedan registrados pero excluidos al corte.</t>
      </text>
    </comment>
    <comment authorId="0" ref="E70">
      <text>
        <t xml:space="preserve">Fecha real. Solo pagos hasta Supuestos!D6 se incluyen en el corte.</t>
      </text>
    </comment>
    <comment authorId="0" ref="F7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0">
      <text>
        <t xml:space="preserve">Referencia de comprobante y explicación de la imputación.</t>
      </text>
    </comment>
    <comment authorId="0" ref="H70">
      <text>
        <t xml:space="preserve">Revisar pago si faltan datos o la cuota/crédito no existe. Pagos futuros válidos quedan registrados pero excluidos al corte.</t>
      </text>
    </comment>
    <comment authorId="0" ref="C203">
      <text>
        <t xml:space="preserve">ID existente y único en Creditos.</t>
      </text>
    </comment>
    <comment authorId="0" ref="D203">
      <text>
        <t xml:space="preserve">Cuota específica a la que imputas el pago. Si una transferencia paga varias cuotas, distribúyela en filas separadas por cuota.</t>
      </text>
    </comment>
    <comment authorId="0" ref="E203">
      <text>
        <t xml:space="preserve">Fecha real. Solo pagos hasta Supuestos!D6 se incluyen en el corte.</t>
      </text>
    </comment>
    <comment authorId="0" ref="F20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1">
      <text>
        <t xml:space="preserve">ID existente y único en Creditos.</t>
      </text>
    </comment>
    <comment authorId="0" ref="G203">
      <text>
        <t xml:space="preserve">Referencia de comprobante y explicación de la imputación.</t>
      </text>
    </comment>
    <comment authorId="0" ref="D71">
      <text>
        <t xml:space="preserve">Cuota específica a la que imputas el pago. Si una transferencia paga varias cuotas, distribúyela en filas separadas por cuota.</t>
      </text>
    </comment>
    <comment authorId="0" ref="H203">
      <text>
        <t xml:space="preserve">Revisar pago si faltan datos o la cuota/crédito no existe. Pagos futuros válidos quedan registrados pero excluidos al corte.</t>
      </text>
    </comment>
    <comment authorId="0" ref="E71">
      <text>
        <t xml:space="preserve">Fecha real. Solo pagos hasta Supuestos!D6 se incluyen en el corte.</t>
      </text>
    </comment>
    <comment authorId="0" ref="F7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1">
      <text>
        <t xml:space="preserve">Referencia de comprobante y explicación de la imputación.</t>
      </text>
    </comment>
    <comment authorId="0" ref="H71">
      <text>
        <t xml:space="preserve">Revisar pago si faltan datos o la cuota/crédito no existe. Pagos futuros válidos quedan registrados pero excluidos al corte.</t>
      </text>
    </comment>
    <comment authorId="0" ref="C204">
      <text>
        <t xml:space="preserve">ID existente y único en Creditos.</t>
      </text>
    </comment>
    <comment authorId="0" ref="D204">
      <text>
        <t xml:space="preserve">Cuota específica a la que imputas el pago. Si una transferencia paga varias cuotas, distribúyela en filas separadas por cuota.</t>
      </text>
    </comment>
    <comment authorId="0" ref="E204">
      <text>
        <t xml:space="preserve">Fecha real. Solo pagos hasta Supuestos!D6 se incluyen en el corte.</t>
      </text>
    </comment>
    <comment authorId="0" ref="F20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2">
      <text>
        <t xml:space="preserve">ID existente y único en Creditos.</t>
      </text>
    </comment>
    <comment authorId="0" ref="G204">
      <text>
        <t xml:space="preserve">Referencia de comprobante y explicación de la imputación.</t>
      </text>
    </comment>
    <comment authorId="0" ref="D72">
      <text>
        <t xml:space="preserve">Cuota específica a la que imputas el pago. Si una transferencia paga varias cuotas, distribúyela en filas separadas por cuota.</t>
      </text>
    </comment>
    <comment authorId="0" ref="H204">
      <text>
        <t xml:space="preserve">Revisar pago si faltan datos o la cuota/crédito no existe. Pagos futuros válidos quedan registrados pero excluidos al corte.</t>
      </text>
    </comment>
    <comment authorId="0" ref="E72">
      <text>
        <t xml:space="preserve">Fecha real. Solo pagos hasta Supuestos!D6 se incluyen en el corte.</t>
      </text>
    </comment>
    <comment authorId="0" ref="F7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2">
      <text>
        <t xml:space="preserve">Referencia de comprobante y explicación de la imputación.</t>
      </text>
    </comment>
    <comment authorId="0" ref="H72">
      <text>
        <t xml:space="preserve">Revisar pago si faltan datos o la cuota/crédito no existe. Pagos futuros válidos quedan registrados pero excluidos al corte.</t>
      </text>
    </comment>
    <comment authorId="0" ref="C205">
      <text>
        <t xml:space="preserve">ID existente y único en Creditos.</t>
      </text>
    </comment>
    <comment authorId="0" ref="D205">
      <text>
        <t xml:space="preserve">Cuota específica a la que imputas el pago. Si una transferencia paga varias cuotas, distribúyela en filas separadas por cuota.</t>
      </text>
    </comment>
    <comment authorId="0" ref="E205">
      <text>
        <t xml:space="preserve">Fecha real. Solo pagos hasta Supuestos!D6 se incluyen en el corte.</t>
      </text>
    </comment>
    <comment authorId="0" ref="F20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3">
      <text>
        <t xml:space="preserve">ID existente y único en Creditos.</t>
      </text>
    </comment>
    <comment authorId="0" ref="G205">
      <text>
        <t xml:space="preserve">Referencia de comprobante y explicación de la imputación.</t>
      </text>
    </comment>
    <comment authorId="0" ref="D73">
      <text>
        <t xml:space="preserve">Cuota específica a la que imputas el pago. Si una transferencia paga varias cuotas, distribúyela en filas separadas por cuota.</t>
      </text>
    </comment>
    <comment authorId="0" ref="H205">
      <text>
        <t xml:space="preserve">Revisar pago si faltan datos o la cuota/crédito no existe. Pagos futuros válidos quedan registrados pero excluidos al corte.</t>
      </text>
    </comment>
    <comment authorId="0" ref="E73">
      <text>
        <t xml:space="preserve">Fecha real. Solo pagos hasta Supuestos!D6 se incluyen en el corte.</t>
      </text>
    </comment>
    <comment authorId="0" ref="F7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3">
      <text>
        <t xml:space="preserve">Referencia de comprobante y explicación de la imputación.</t>
      </text>
    </comment>
    <comment authorId="0" ref="H73">
      <text>
        <t xml:space="preserve">Revisar pago si faltan datos o la cuota/crédito no existe. Pagos futuros válidos quedan registrados pero excluidos al corte.</t>
      </text>
    </comment>
    <comment authorId="0" ref="C206">
      <text>
        <t xml:space="preserve">ID existente y único en Creditos.</t>
      </text>
    </comment>
    <comment authorId="0" ref="D206">
      <text>
        <t xml:space="preserve">Cuota específica a la que imputas el pago. Si una transferencia paga varias cuotas, distribúyela en filas separadas por cuota.</t>
      </text>
    </comment>
    <comment authorId="0" ref="E206">
      <text>
        <t xml:space="preserve">Fecha real. Solo pagos hasta Supuestos!D6 se incluyen en el corte.</t>
      </text>
    </comment>
    <comment authorId="0" ref="F20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4">
      <text>
        <t xml:space="preserve">ID existente y único en Creditos.</t>
      </text>
    </comment>
    <comment authorId="0" ref="G206">
      <text>
        <t xml:space="preserve">Referencia de comprobante y explicación de la imputación.</t>
      </text>
    </comment>
    <comment authorId="0" ref="D74">
      <text>
        <t xml:space="preserve">Cuota específica a la que imputas el pago. Si una transferencia paga varias cuotas, distribúyela en filas separadas por cuota.</t>
      </text>
    </comment>
    <comment authorId="0" ref="H206">
      <text>
        <t xml:space="preserve">Revisar pago si faltan datos o la cuota/crédito no existe. Pagos futuros válidos quedan registrados pero excluidos al corte.</t>
      </text>
    </comment>
    <comment authorId="0" ref="E74">
      <text>
        <t xml:space="preserve">Fecha real. Solo pagos hasta Supuestos!D6 se incluyen en el corte.</t>
      </text>
    </comment>
    <comment authorId="0" ref="F7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4">
      <text>
        <t xml:space="preserve">Referencia de comprobante y explicación de la imputación.</t>
      </text>
    </comment>
    <comment authorId="0" ref="H74">
      <text>
        <t xml:space="preserve">Revisar pago si faltan datos o la cuota/crédito no existe. Pagos futuros válidos quedan registrados pero excluidos al corte.</t>
      </text>
    </comment>
    <comment authorId="0" ref="C207">
      <text>
        <t xml:space="preserve">ID existente y único en Creditos.</t>
      </text>
    </comment>
    <comment authorId="0" ref="D207">
      <text>
        <t xml:space="preserve">Cuota específica a la que imputas el pago. Si una transferencia paga varias cuotas, distribúyela en filas separadas por cuota.</t>
      </text>
    </comment>
    <comment authorId="0" ref="E207">
      <text>
        <t xml:space="preserve">Fecha real. Solo pagos hasta Supuestos!D6 se incluyen en el corte.</t>
      </text>
    </comment>
    <comment authorId="0" ref="F20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5">
      <text>
        <t xml:space="preserve">ID existente y único en Creditos.</t>
      </text>
    </comment>
    <comment authorId="0" ref="G207">
      <text>
        <t xml:space="preserve">Referencia de comprobante y explicación de la imputación.</t>
      </text>
    </comment>
    <comment authorId="0" ref="D75">
      <text>
        <t xml:space="preserve">Cuota específica a la que imputas el pago. Si una transferencia paga varias cuotas, distribúyela en filas separadas por cuota.</t>
      </text>
    </comment>
    <comment authorId="0" ref="H207">
      <text>
        <t xml:space="preserve">Revisar pago si faltan datos o la cuota/crédito no existe. Pagos futuros válidos quedan registrados pero excluidos al corte.</t>
      </text>
    </comment>
    <comment authorId="0" ref="E75">
      <text>
        <t xml:space="preserve">Fecha real. Solo pagos hasta Supuestos!D6 se incluyen en el corte.</t>
      </text>
    </comment>
    <comment authorId="0" ref="F7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5">
      <text>
        <t xml:space="preserve">Referencia de comprobante y explicación de la imputación.</t>
      </text>
    </comment>
    <comment authorId="0" ref="H75">
      <text>
        <t xml:space="preserve">Revisar pago si faltan datos o la cuota/crédito no existe. Pagos futuros válidos quedan registrados pero excluidos al corte.</t>
      </text>
    </comment>
    <comment authorId="0" ref="C208">
      <text>
        <t xml:space="preserve">ID existente y único en Creditos.</t>
      </text>
    </comment>
    <comment authorId="0" ref="D208">
      <text>
        <t xml:space="preserve">Cuota específica a la que imputas el pago. Si una transferencia paga varias cuotas, distribúyela en filas separadas por cuota.</t>
      </text>
    </comment>
    <comment authorId="0" ref="E208">
      <text>
        <t xml:space="preserve">Fecha real. Solo pagos hasta Supuestos!D6 se incluyen en el corte.</t>
      </text>
    </comment>
    <comment authorId="0" ref="F20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6">
      <text>
        <t xml:space="preserve">ID existente y único en Creditos.</t>
      </text>
    </comment>
    <comment authorId="0" ref="G208">
      <text>
        <t xml:space="preserve">Referencia de comprobante y explicación de la imputación.</t>
      </text>
    </comment>
    <comment authorId="0" ref="D76">
      <text>
        <t xml:space="preserve">Cuota específica a la que imputas el pago. Si una transferencia paga varias cuotas, distribúyela en filas separadas por cuota.</t>
      </text>
    </comment>
    <comment authorId="0" ref="H208">
      <text>
        <t xml:space="preserve">Revisar pago si faltan datos o la cuota/crédito no existe. Pagos futuros válidos quedan registrados pero excluidos al corte.</t>
      </text>
    </comment>
    <comment authorId="0" ref="E76">
      <text>
        <t xml:space="preserve">Fecha real. Solo pagos hasta Supuestos!D6 se incluyen en el corte.</t>
      </text>
    </comment>
    <comment authorId="0" ref="F7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6">
      <text>
        <t xml:space="preserve">Referencia de comprobante y explicación de la imputación.</t>
      </text>
    </comment>
    <comment authorId="0" ref="H76">
      <text>
        <t xml:space="preserve">Revisar pago si faltan datos o la cuota/crédito no existe. Pagos futuros válidos quedan registrados pero excluidos al corte.</t>
      </text>
    </comment>
    <comment authorId="0" ref="C209">
      <text>
        <t xml:space="preserve">ID existente y único en Creditos.</t>
      </text>
    </comment>
    <comment authorId="0" ref="D209">
      <text>
        <t xml:space="preserve">Cuota específica a la que imputas el pago. Si una transferencia paga varias cuotas, distribúyela en filas separadas por cuota.</t>
      </text>
    </comment>
    <comment authorId="0" ref="E209">
      <text>
        <t xml:space="preserve">Fecha real. Solo pagos hasta Supuestos!D6 se incluyen en el corte.</t>
      </text>
    </comment>
    <comment authorId="0" ref="F20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7">
      <text>
        <t xml:space="preserve">ID existente y único en Creditos.</t>
      </text>
    </comment>
    <comment authorId="0" ref="G209">
      <text>
        <t xml:space="preserve">Referencia de comprobante y explicación de la imputación.</t>
      </text>
    </comment>
    <comment authorId="0" ref="D77">
      <text>
        <t xml:space="preserve">Cuota específica a la que imputas el pago. Si una transferencia paga varias cuotas, distribúyela en filas separadas por cuota.</t>
      </text>
    </comment>
    <comment authorId="0" ref="H209">
      <text>
        <t xml:space="preserve">Revisar pago si faltan datos o la cuota/crédito no existe. Pagos futuros válidos quedan registrados pero excluidos al corte.</t>
      </text>
    </comment>
    <comment authorId="0" ref="E77">
      <text>
        <t xml:space="preserve">Fecha real. Solo pagos hasta Supuestos!D6 se incluyen en el corte.</t>
      </text>
    </comment>
    <comment authorId="0" ref="F7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7">
      <text>
        <t xml:space="preserve">Referencia de comprobante y explicación de la imputación.</t>
      </text>
    </comment>
    <comment authorId="0" ref="H77">
      <text>
        <t xml:space="preserve">Revisar pago si faltan datos o la cuota/crédito no existe. Pagos futuros válidos quedan registrados pero excluidos al corte.</t>
      </text>
    </comment>
    <comment authorId="0" ref="C210">
      <text>
        <t xml:space="preserve">ID existente y único en Creditos.</t>
      </text>
    </comment>
    <comment authorId="0" ref="D210">
      <text>
        <t xml:space="preserve">Cuota específica a la que imputas el pago. Si una transferencia paga varias cuotas, distribúyela en filas separadas por cuota.</t>
      </text>
    </comment>
    <comment authorId="0" ref="E210">
      <text>
        <t xml:space="preserve">Fecha real. Solo pagos hasta Supuestos!D6 se incluyen en el corte.</t>
      </text>
    </comment>
    <comment authorId="0" ref="F21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8">
      <text>
        <t xml:space="preserve">ID existente y único en Creditos.</t>
      </text>
    </comment>
    <comment authorId="0" ref="G210">
      <text>
        <t xml:space="preserve">Referencia de comprobante y explicación de la imputación.</t>
      </text>
    </comment>
    <comment authorId="0" ref="D78">
      <text>
        <t xml:space="preserve">Cuota específica a la que imputas el pago. Si una transferencia paga varias cuotas, distribúyela en filas separadas por cuota.</t>
      </text>
    </comment>
    <comment authorId="0" ref="H210">
      <text>
        <t xml:space="preserve">Revisar pago si faltan datos o la cuota/crédito no existe. Pagos futuros válidos quedan registrados pero excluidos al corte.</t>
      </text>
    </comment>
    <comment authorId="0" ref="E78">
      <text>
        <t xml:space="preserve">Fecha real. Solo pagos hasta Supuestos!D6 se incluyen en el corte.</t>
      </text>
    </comment>
    <comment authorId="0" ref="F7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8">
      <text>
        <t xml:space="preserve">Referencia de comprobante y explicación de la imputación.</t>
      </text>
    </comment>
    <comment authorId="0" ref="H78">
      <text>
        <t xml:space="preserve">Revisar pago si faltan datos o la cuota/crédito no existe. Pagos futuros válidos quedan registrados pero excluidos al corte.</t>
      </text>
    </comment>
    <comment authorId="0" ref="C211">
      <text>
        <t xml:space="preserve">ID existente y único en Creditos.</t>
      </text>
    </comment>
    <comment authorId="0" ref="D211">
      <text>
        <t xml:space="preserve">Cuota específica a la que imputas el pago. Si una transferencia paga varias cuotas, distribúyela en filas separadas por cuota.</t>
      </text>
    </comment>
    <comment authorId="0" ref="E211">
      <text>
        <t xml:space="preserve">Fecha real. Solo pagos hasta Supuestos!D6 se incluyen en el corte.</t>
      </text>
    </comment>
    <comment authorId="0" ref="F21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79">
      <text>
        <t xml:space="preserve">ID existente y único en Creditos.</t>
      </text>
    </comment>
    <comment authorId="0" ref="G211">
      <text>
        <t xml:space="preserve">Referencia de comprobante y explicación de la imputación.</t>
      </text>
    </comment>
    <comment authorId="0" ref="D79">
      <text>
        <t xml:space="preserve">Cuota específica a la que imputas el pago. Si una transferencia paga varias cuotas, distribúyela en filas separadas por cuota.</t>
      </text>
    </comment>
    <comment authorId="0" ref="H211">
      <text>
        <t xml:space="preserve">Revisar pago si faltan datos o la cuota/crédito no existe. Pagos futuros válidos quedan registrados pero excluidos al corte.</t>
      </text>
    </comment>
    <comment authorId="0" ref="E79">
      <text>
        <t xml:space="preserve">Fecha real. Solo pagos hasta Supuestos!D6 se incluyen en el corte.</t>
      </text>
    </comment>
    <comment authorId="0" ref="F7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79">
      <text>
        <t xml:space="preserve">Referencia de comprobante y explicación de la imputación.</t>
      </text>
    </comment>
    <comment authorId="0" ref="H79">
      <text>
        <t xml:space="preserve">Revisar pago si faltan datos o la cuota/crédito no existe. Pagos futuros válidos quedan registrados pero excluidos al corte.</t>
      </text>
    </comment>
    <comment authorId="0" ref="C212">
      <text>
        <t xml:space="preserve">ID existente y único en Creditos.</t>
      </text>
    </comment>
    <comment authorId="0" ref="D212">
      <text>
        <t xml:space="preserve">Cuota específica a la que imputas el pago. Si una transferencia paga varias cuotas, distribúyela en filas separadas por cuota.</t>
      </text>
    </comment>
    <comment authorId="0" ref="E212">
      <text>
        <t xml:space="preserve">Fecha real. Solo pagos hasta Supuestos!D6 se incluyen en el corte.</t>
      </text>
    </comment>
    <comment authorId="0" ref="F21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0">
      <text>
        <t xml:space="preserve">ID existente y único en Creditos.</t>
      </text>
    </comment>
    <comment authorId="0" ref="G212">
      <text>
        <t xml:space="preserve">Referencia de comprobante y explicación de la imputación.</t>
      </text>
    </comment>
    <comment authorId="0" ref="D80">
      <text>
        <t xml:space="preserve">Cuota específica a la que imputas el pago. Si una transferencia paga varias cuotas, distribúyela en filas separadas por cuota.</t>
      </text>
    </comment>
    <comment authorId="0" ref="H212">
      <text>
        <t xml:space="preserve">Revisar pago si faltan datos o la cuota/crédito no existe. Pagos futuros válidos quedan registrados pero excluidos al corte.</t>
      </text>
    </comment>
    <comment authorId="0" ref="E80">
      <text>
        <t xml:space="preserve">Fecha real. Solo pagos hasta Supuestos!D6 se incluyen en el corte.</t>
      </text>
    </comment>
    <comment authorId="0" ref="F8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0">
      <text>
        <t xml:space="preserve">Referencia de comprobante y explicación de la imputación.</t>
      </text>
    </comment>
    <comment authorId="0" ref="H80">
      <text>
        <t xml:space="preserve">Revisar pago si faltan datos o la cuota/crédito no existe. Pagos futuros válidos quedan registrados pero excluidos al corte.</t>
      </text>
    </comment>
    <comment authorId="0" ref="C213">
      <text>
        <t xml:space="preserve">ID existente y único en Creditos.</t>
      </text>
    </comment>
    <comment authorId="0" ref="D213">
      <text>
        <t xml:space="preserve">Cuota específica a la que imputas el pago. Si una transferencia paga varias cuotas, distribúyela en filas separadas por cuota.</t>
      </text>
    </comment>
    <comment authorId="0" ref="E213">
      <text>
        <t xml:space="preserve">Fecha real. Solo pagos hasta Supuestos!D6 se incluyen en el corte.</t>
      </text>
    </comment>
    <comment authorId="0" ref="F21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1">
      <text>
        <t xml:space="preserve">ID existente y único en Creditos.</t>
      </text>
    </comment>
    <comment authorId="0" ref="G213">
      <text>
        <t xml:space="preserve">Referencia de comprobante y explicación de la imputación.</t>
      </text>
    </comment>
    <comment authorId="0" ref="D81">
      <text>
        <t xml:space="preserve">Cuota específica a la que imputas el pago. Si una transferencia paga varias cuotas, distribúyela en filas separadas por cuota.</t>
      </text>
    </comment>
    <comment authorId="0" ref="H213">
      <text>
        <t xml:space="preserve">Revisar pago si faltan datos o la cuota/crédito no existe. Pagos futuros válidos quedan registrados pero excluidos al corte.</t>
      </text>
    </comment>
    <comment authorId="0" ref="E81">
      <text>
        <t xml:space="preserve">Fecha real. Solo pagos hasta Supuestos!D6 se incluyen en el corte.</t>
      </text>
    </comment>
    <comment authorId="0" ref="F8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1">
      <text>
        <t xml:space="preserve">Referencia de comprobante y explicación de la imputación.</t>
      </text>
    </comment>
    <comment authorId="0" ref="H81">
      <text>
        <t xml:space="preserve">Revisar pago si faltan datos o la cuota/crédito no existe. Pagos futuros válidos quedan registrados pero excluidos al corte.</t>
      </text>
    </comment>
    <comment authorId="0" ref="C214">
      <text>
        <t xml:space="preserve">ID existente y único en Creditos.</t>
      </text>
    </comment>
    <comment authorId="0" ref="D214">
      <text>
        <t xml:space="preserve">Cuota específica a la que imputas el pago. Si una transferencia paga varias cuotas, distribúyela en filas separadas por cuota.</t>
      </text>
    </comment>
    <comment authorId="0" ref="E214">
      <text>
        <t xml:space="preserve">Fecha real. Solo pagos hasta Supuestos!D6 se incluyen en el corte.</t>
      </text>
    </comment>
    <comment authorId="0" ref="F21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2">
      <text>
        <t xml:space="preserve">ID existente y único en Creditos.</t>
      </text>
    </comment>
    <comment authorId="0" ref="G214">
      <text>
        <t xml:space="preserve">Referencia de comprobante y explicación de la imputación.</t>
      </text>
    </comment>
    <comment authorId="0" ref="D82">
      <text>
        <t xml:space="preserve">Cuota específica a la que imputas el pago. Si una transferencia paga varias cuotas, distribúyela en filas separadas por cuota.</t>
      </text>
    </comment>
    <comment authorId="0" ref="H214">
      <text>
        <t xml:space="preserve">Revisar pago si faltan datos o la cuota/crédito no existe. Pagos futuros válidos quedan registrados pero excluidos al corte.</t>
      </text>
    </comment>
    <comment authorId="0" ref="E82">
      <text>
        <t xml:space="preserve">Fecha real. Solo pagos hasta Supuestos!D6 se incluyen en el corte.</t>
      </text>
    </comment>
    <comment authorId="0" ref="F8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2">
      <text>
        <t xml:space="preserve">Referencia de comprobante y explicación de la imputación.</t>
      </text>
    </comment>
    <comment authorId="0" ref="H82">
      <text>
        <t xml:space="preserve">Revisar pago si faltan datos o la cuota/crédito no existe. Pagos futuros válidos quedan registrados pero excluidos al corte.</t>
      </text>
    </comment>
    <comment authorId="0" ref="C215">
      <text>
        <t xml:space="preserve">ID existente y único en Creditos.</t>
      </text>
    </comment>
    <comment authorId="0" ref="D215">
      <text>
        <t xml:space="preserve">Cuota específica a la que imputas el pago. Si una transferencia paga varias cuotas, distribúyela en filas separadas por cuota.</t>
      </text>
    </comment>
    <comment authorId="0" ref="E215">
      <text>
        <t xml:space="preserve">Fecha real. Solo pagos hasta Supuestos!D6 se incluyen en el corte.</t>
      </text>
    </comment>
    <comment authorId="0" ref="F21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3">
      <text>
        <t xml:space="preserve">ID existente y único en Creditos.</t>
      </text>
    </comment>
    <comment authorId="0" ref="G215">
      <text>
        <t xml:space="preserve">Referencia de comprobante y explicación de la imputación.</t>
      </text>
    </comment>
    <comment authorId="0" ref="D83">
      <text>
        <t xml:space="preserve">Cuota específica a la que imputas el pago. Si una transferencia paga varias cuotas, distribúyela en filas separadas por cuota.</t>
      </text>
    </comment>
    <comment authorId="0" ref="H215">
      <text>
        <t xml:space="preserve">Revisar pago si faltan datos o la cuota/crédito no existe. Pagos futuros válidos quedan registrados pero excluidos al corte.</t>
      </text>
    </comment>
    <comment authorId="0" ref="E83">
      <text>
        <t xml:space="preserve">Fecha real. Solo pagos hasta Supuestos!D6 se incluyen en el corte.</t>
      </text>
    </comment>
    <comment authorId="0" ref="F8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3">
      <text>
        <t xml:space="preserve">Referencia de comprobante y explicación de la imputación.</t>
      </text>
    </comment>
    <comment authorId="0" ref="H83">
      <text>
        <t xml:space="preserve">Revisar pago si faltan datos o la cuota/crédito no existe. Pagos futuros válidos quedan registrados pero excluidos al corte.</t>
      </text>
    </comment>
    <comment authorId="0" ref="C216">
      <text>
        <t xml:space="preserve">ID existente y único en Creditos.</t>
      </text>
    </comment>
    <comment authorId="0" ref="D216">
      <text>
        <t xml:space="preserve">Cuota específica a la que imputas el pago. Si una transferencia paga varias cuotas, distribúyela en filas separadas por cuota.</t>
      </text>
    </comment>
    <comment authorId="0" ref="E216">
      <text>
        <t xml:space="preserve">Fecha real. Solo pagos hasta Supuestos!D6 se incluyen en el corte.</t>
      </text>
    </comment>
    <comment authorId="0" ref="F21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4">
      <text>
        <t xml:space="preserve">ID existente y único en Creditos.</t>
      </text>
    </comment>
    <comment authorId="0" ref="G216">
      <text>
        <t xml:space="preserve">Referencia de comprobante y explicación de la imputación.</t>
      </text>
    </comment>
    <comment authorId="0" ref="D84">
      <text>
        <t xml:space="preserve">Cuota específica a la que imputas el pago. Si una transferencia paga varias cuotas, distribúyela en filas separadas por cuota.</t>
      </text>
    </comment>
    <comment authorId="0" ref="H216">
      <text>
        <t xml:space="preserve">Revisar pago si faltan datos o la cuota/crédito no existe. Pagos futuros válidos quedan registrados pero excluidos al corte.</t>
      </text>
    </comment>
    <comment authorId="0" ref="E84">
      <text>
        <t xml:space="preserve">Fecha real. Solo pagos hasta Supuestos!D6 se incluyen en el corte.</t>
      </text>
    </comment>
    <comment authorId="0" ref="F8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4">
      <text>
        <t xml:space="preserve">Referencia de comprobante y explicación de la imputación.</t>
      </text>
    </comment>
    <comment authorId="0" ref="H84">
      <text>
        <t xml:space="preserve">Revisar pago si faltan datos o la cuota/crédito no existe. Pagos futuros válidos quedan registrados pero excluidos al corte.</t>
      </text>
    </comment>
    <comment authorId="0" ref="C217">
      <text>
        <t xml:space="preserve">ID existente y único en Creditos.</t>
      </text>
    </comment>
    <comment authorId="0" ref="D217">
      <text>
        <t xml:space="preserve">Cuota específica a la que imputas el pago. Si una transferencia paga varias cuotas, distribúyela en filas separadas por cuota.</t>
      </text>
    </comment>
    <comment authorId="0" ref="E217">
      <text>
        <t xml:space="preserve">Fecha real. Solo pagos hasta Supuestos!D6 se incluyen en el corte.</t>
      </text>
    </comment>
    <comment authorId="0" ref="F21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5">
      <text>
        <t xml:space="preserve">ID existente y único en Creditos.</t>
      </text>
    </comment>
    <comment authorId="0" ref="G217">
      <text>
        <t xml:space="preserve">Referencia de comprobante y explicación de la imputación.</t>
      </text>
    </comment>
    <comment authorId="0" ref="D85">
      <text>
        <t xml:space="preserve">Cuota específica a la que imputas el pago. Si una transferencia paga varias cuotas, distribúyela en filas separadas por cuota.</t>
      </text>
    </comment>
    <comment authorId="0" ref="H217">
      <text>
        <t xml:space="preserve">Revisar pago si faltan datos o la cuota/crédito no existe. Pagos futuros válidos quedan registrados pero excluidos al corte.</t>
      </text>
    </comment>
    <comment authorId="0" ref="E85">
      <text>
        <t xml:space="preserve">Fecha real. Solo pagos hasta Supuestos!D6 se incluyen en el corte.</t>
      </text>
    </comment>
    <comment authorId="0" ref="F8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5">
      <text>
        <t xml:space="preserve">Referencia de comprobante y explicación de la imputación.</t>
      </text>
    </comment>
    <comment authorId="0" ref="H85">
      <text>
        <t xml:space="preserve">Revisar pago si faltan datos o la cuota/crédito no existe. Pagos futuros válidos quedan registrados pero excluidos al corte.</t>
      </text>
    </comment>
    <comment authorId="0" ref="C218">
      <text>
        <t xml:space="preserve">ID existente y único en Creditos.</t>
      </text>
    </comment>
    <comment authorId="0" ref="D218">
      <text>
        <t xml:space="preserve">Cuota específica a la que imputas el pago. Si una transferencia paga varias cuotas, distribúyela en filas separadas por cuota.</t>
      </text>
    </comment>
    <comment authorId="0" ref="E218">
      <text>
        <t xml:space="preserve">Fecha real. Solo pagos hasta Supuestos!D6 se incluyen en el corte.</t>
      </text>
    </comment>
    <comment authorId="0" ref="F21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6">
      <text>
        <t xml:space="preserve">ID existente y único en Creditos.</t>
      </text>
    </comment>
    <comment authorId="0" ref="G218">
      <text>
        <t xml:space="preserve">Referencia de comprobante y explicación de la imputación.</t>
      </text>
    </comment>
    <comment authorId="0" ref="D86">
      <text>
        <t xml:space="preserve">Cuota específica a la que imputas el pago. Si una transferencia paga varias cuotas, distribúyela en filas separadas por cuota.</t>
      </text>
    </comment>
    <comment authorId="0" ref="H218">
      <text>
        <t xml:space="preserve">Revisar pago si faltan datos o la cuota/crédito no existe. Pagos futuros válidos quedan registrados pero excluidos al corte.</t>
      </text>
    </comment>
    <comment authorId="0" ref="E86">
      <text>
        <t xml:space="preserve">Fecha real. Solo pagos hasta Supuestos!D6 se incluyen en el corte.</t>
      </text>
    </comment>
    <comment authorId="0" ref="F8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6">
      <text>
        <t xml:space="preserve">Referencia de comprobante y explicación de la imputación.</t>
      </text>
    </comment>
    <comment authorId="0" ref="H86">
      <text>
        <t xml:space="preserve">Revisar pago si faltan datos o la cuota/crédito no existe. Pagos futuros válidos quedan registrados pero excluidos al corte.</t>
      </text>
    </comment>
    <comment authorId="0" ref="C219">
      <text>
        <t xml:space="preserve">ID existente y único en Creditos.</t>
      </text>
    </comment>
    <comment authorId="0" ref="D219">
      <text>
        <t xml:space="preserve">Cuota específica a la que imputas el pago. Si una transferencia paga varias cuotas, distribúyela en filas separadas por cuota.</t>
      </text>
    </comment>
    <comment authorId="0" ref="E219">
      <text>
        <t xml:space="preserve">Fecha real. Solo pagos hasta Supuestos!D6 se incluyen en el corte.</t>
      </text>
    </comment>
    <comment authorId="0" ref="F21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7">
      <text>
        <t xml:space="preserve">ID existente y único en Creditos.</t>
      </text>
    </comment>
    <comment authorId="0" ref="G219">
      <text>
        <t xml:space="preserve">Referencia de comprobante y explicación de la imputación.</t>
      </text>
    </comment>
    <comment authorId="0" ref="D87">
      <text>
        <t xml:space="preserve">Cuota específica a la que imputas el pago. Si una transferencia paga varias cuotas, distribúyela en filas separadas por cuota.</t>
      </text>
    </comment>
    <comment authorId="0" ref="H219">
      <text>
        <t xml:space="preserve">Revisar pago si faltan datos o la cuota/crédito no existe. Pagos futuros válidos quedan registrados pero excluidos al corte.</t>
      </text>
    </comment>
    <comment authorId="0" ref="E87">
      <text>
        <t xml:space="preserve">Fecha real. Solo pagos hasta Supuestos!D6 se incluyen en el corte.</t>
      </text>
    </comment>
    <comment authorId="0" ref="F8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7">
      <text>
        <t xml:space="preserve">Referencia de comprobante y explicación de la imputación.</t>
      </text>
    </comment>
    <comment authorId="0" ref="H87">
      <text>
        <t xml:space="preserve">Revisar pago si faltan datos o la cuota/crédito no existe. Pagos futuros válidos quedan registrados pero excluidos al corte.</t>
      </text>
    </comment>
    <comment authorId="0" ref="C220">
      <text>
        <t xml:space="preserve">ID existente y único en Creditos.</t>
      </text>
    </comment>
    <comment authorId="0" ref="D220">
      <text>
        <t xml:space="preserve">Cuota específica a la que imputas el pago. Si una transferencia paga varias cuotas, distribúyela en filas separadas por cuota.</t>
      </text>
    </comment>
    <comment authorId="0" ref="E220">
      <text>
        <t xml:space="preserve">Fecha real. Solo pagos hasta Supuestos!D6 se incluyen en el corte.</t>
      </text>
    </comment>
    <comment authorId="0" ref="F22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8">
      <text>
        <t xml:space="preserve">ID existente y único en Creditos.</t>
      </text>
    </comment>
    <comment authorId="0" ref="G220">
      <text>
        <t xml:space="preserve">Referencia de comprobante y explicación de la imputación.</t>
      </text>
    </comment>
    <comment authorId="0" ref="D88">
      <text>
        <t xml:space="preserve">Cuota específica a la que imputas el pago. Si una transferencia paga varias cuotas, distribúyela en filas separadas por cuota.</t>
      </text>
    </comment>
    <comment authorId="0" ref="H220">
      <text>
        <t xml:space="preserve">Revisar pago si faltan datos o la cuota/crédito no existe. Pagos futuros válidos quedan registrados pero excluidos al corte.</t>
      </text>
    </comment>
    <comment authorId="0" ref="E88">
      <text>
        <t xml:space="preserve">Fecha real. Solo pagos hasta Supuestos!D6 se incluyen en el corte.</t>
      </text>
    </comment>
    <comment authorId="0" ref="F8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8">
      <text>
        <t xml:space="preserve">Referencia de comprobante y explicación de la imputación.</t>
      </text>
    </comment>
    <comment authorId="0" ref="H88">
      <text>
        <t xml:space="preserve">Revisar pago si faltan datos o la cuota/crédito no existe. Pagos futuros válidos quedan registrados pero excluidos al corte.</t>
      </text>
    </comment>
    <comment authorId="0" ref="C221">
      <text>
        <t xml:space="preserve">ID existente y único en Creditos.</t>
      </text>
    </comment>
    <comment authorId="0" ref="D221">
      <text>
        <t xml:space="preserve">Cuota específica a la que imputas el pago. Si una transferencia paga varias cuotas, distribúyela en filas separadas por cuota.</t>
      </text>
    </comment>
    <comment authorId="0" ref="E221">
      <text>
        <t xml:space="preserve">Fecha real. Solo pagos hasta Supuestos!D6 se incluyen en el corte.</t>
      </text>
    </comment>
    <comment authorId="0" ref="F22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89">
      <text>
        <t xml:space="preserve">ID existente y único en Creditos.</t>
      </text>
    </comment>
    <comment authorId="0" ref="G221">
      <text>
        <t xml:space="preserve">Referencia de comprobante y explicación de la imputación.</t>
      </text>
    </comment>
    <comment authorId="0" ref="D89">
      <text>
        <t xml:space="preserve">Cuota específica a la que imputas el pago. Si una transferencia paga varias cuotas, distribúyela en filas separadas por cuota.</t>
      </text>
    </comment>
    <comment authorId="0" ref="H221">
      <text>
        <t xml:space="preserve">Revisar pago si faltan datos o la cuota/crédito no existe. Pagos futuros válidos quedan registrados pero excluidos al corte.</t>
      </text>
    </comment>
    <comment authorId="0" ref="E89">
      <text>
        <t xml:space="preserve">Fecha real. Solo pagos hasta Supuestos!D6 se incluyen en el corte.</t>
      </text>
    </comment>
    <comment authorId="0" ref="F8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89">
      <text>
        <t xml:space="preserve">Referencia de comprobante y explicación de la imputación.</t>
      </text>
    </comment>
    <comment authorId="0" ref="H89">
      <text>
        <t xml:space="preserve">Revisar pago si faltan datos o la cuota/crédito no existe. Pagos futuros válidos quedan registrados pero excluidos al corte.</t>
      </text>
    </comment>
    <comment authorId="0" ref="C222">
      <text>
        <t xml:space="preserve">ID existente y único en Creditos.</t>
      </text>
    </comment>
    <comment authorId="0" ref="D222">
      <text>
        <t xml:space="preserve">Cuota específica a la que imputas el pago. Si una transferencia paga varias cuotas, distribúyela en filas separadas por cuota.</t>
      </text>
    </comment>
    <comment authorId="0" ref="E222">
      <text>
        <t xml:space="preserve">Fecha real. Solo pagos hasta Supuestos!D6 se incluyen en el corte.</t>
      </text>
    </comment>
    <comment authorId="0" ref="F22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0">
      <text>
        <t xml:space="preserve">ID existente y único en Creditos.</t>
      </text>
    </comment>
    <comment authorId="0" ref="G222">
      <text>
        <t xml:space="preserve">Referencia de comprobante y explicación de la imputación.</t>
      </text>
    </comment>
    <comment authorId="0" ref="D90">
      <text>
        <t xml:space="preserve">Cuota específica a la que imputas el pago. Si una transferencia paga varias cuotas, distribúyela en filas separadas por cuota.</t>
      </text>
    </comment>
    <comment authorId="0" ref="H222">
      <text>
        <t xml:space="preserve">Revisar pago si faltan datos o la cuota/crédito no existe. Pagos futuros válidos quedan registrados pero excluidos al corte.</t>
      </text>
    </comment>
    <comment authorId="0" ref="E90">
      <text>
        <t xml:space="preserve">Fecha real. Solo pagos hasta Supuestos!D6 se incluyen en el corte.</t>
      </text>
    </comment>
    <comment authorId="0" ref="F9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0">
      <text>
        <t xml:space="preserve">Referencia de comprobante y explicación de la imputación.</t>
      </text>
    </comment>
    <comment authorId="0" ref="H90">
      <text>
        <t xml:space="preserve">Revisar pago si faltan datos o la cuota/crédito no existe. Pagos futuros válidos quedan registrados pero excluidos al corte.</t>
      </text>
    </comment>
    <comment authorId="0" ref="C223">
      <text>
        <t xml:space="preserve">ID existente y único en Creditos.</t>
      </text>
    </comment>
    <comment authorId="0" ref="D223">
      <text>
        <t xml:space="preserve">Cuota específica a la que imputas el pago. Si una transferencia paga varias cuotas, distribúyela en filas separadas por cuota.</t>
      </text>
    </comment>
    <comment authorId="0" ref="E223">
      <text>
        <t xml:space="preserve">Fecha real. Solo pagos hasta Supuestos!D6 se incluyen en el corte.</t>
      </text>
    </comment>
    <comment authorId="0" ref="F22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1">
      <text>
        <t xml:space="preserve">ID existente y único en Creditos.</t>
      </text>
    </comment>
    <comment authorId="0" ref="G223">
      <text>
        <t xml:space="preserve">Referencia de comprobante y explicación de la imputación.</t>
      </text>
    </comment>
    <comment authorId="0" ref="D91">
      <text>
        <t xml:space="preserve">Cuota específica a la que imputas el pago. Si una transferencia paga varias cuotas, distribúyela en filas separadas por cuota.</t>
      </text>
    </comment>
    <comment authorId="0" ref="H223">
      <text>
        <t xml:space="preserve">Revisar pago si faltan datos o la cuota/crédito no existe. Pagos futuros válidos quedan registrados pero excluidos al corte.</t>
      </text>
    </comment>
    <comment authorId="0" ref="E91">
      <text>
        <t xml:space="preserve">Fecha real. Solo pagos hasta Supuestos!D6 se incluyen en el corte.</t>
      </text>
    </comment>
    <comment authorId="0" ref="F9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1">
      <text>
        <t xml:space="preserve">Referencia de comprobante y explicación de la imputación.</t>
      </text>
    </comment>
    <comment authorId="0" ref="H91">
      <text>
        <t xml:space="preserve">Revisar pago si faltan datos o la cuota/crédito no existe. Pagos futuros válidos quedan registrados pero excluidos al corte.</t>
      </text>
    </comment>
    <comment authorId="0" ref="C224">
      <text>
        <t xml:space="preserve">ID existente y único en Creditos.</t>
      </text>
    </comment>
    <comment authorId="0" ref="D224">
      <text>
        <t xml:space="preserve">Cuota específica a la que imputas el pago. Si una transferencia paga varias cuotas, distribúyela en filas separadas por cuota.</t>
      </text>
    </comment>
    <comment authorId="0" ref="E224">
      <text>
        <t xml:space="preserve">Fecha real. Solo pagos hasta Supuestos!D6 se incluyen en el corte.</t>
      </text>
    </comment>
    <comment authorId="0" ref="F22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2">
      <text>
        <t xml:space="preserve">ID existente y único en Creditos.</t>
      </text>
    </comment>
    <comment authorId="0" ref="G224">
      <text>
        <t xml:space="preserve">Referencia de comprobante y explicación de la imputación.</t>
      </text>
    </comment>
    <comment authorId="0" ref="D92">
      <text>
        <t xml:space="preserve">Cuota específica a la que imputas el pago. Si una transferencia paga varias cuotas, distribúyela en filas separadas por cuota.</t>
      </text>
    </comment>
    <comment authorId="0" ref="H224">
      <text>
        <t xml:space="preserve">Revisar pago si faltan datos o la cuota/crédito no existe. Pagos futuros válidos quedan registrados pero excluidos al corte.</t>
      </text>
    </comment>
    <comment authorId="0" ref="E92">
      <text>
        <t xml:space="preserve">Fecha real. Solo pagos hasta Supuestos!D6 se incluyen en el corte.</t>
      </text>
    </comment>
    <comment authorId="0" ref="F9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2">
      <text>
        <t xml:space="preserve">Referencia de comprobante y explicación de la imputación.</t>
      </text>
    </comment>
    <comment authorId="0" ref="H92">
      <text>
        <t xml:space="preserve">Revisar pago si faltan datos o la cuota/crédito no existe. Pagos futuros válidos quedan registrados pero excluidos al corte.</t>
      </text>
    </comment>
    <comment authorId="0" ref="C225">
      <text>
        <t xml:space="preserve">ID existente y único en Creditos.</t>
      </text>
    </comment>
    <comment authorId="0" ref="D225">
      <text>
        <t xml:space="preserve">Cuota específica a la que imputas el pago. Si una transferencia paga varias cuotas, distribúyela en filas separadas por cuota.</t>
      </text>
    </comment>
    <comment authorId="0" ref="E225">
      <text>
        <t xml:space="preserve">Fecha real. Solo pagos hasta Supuestos!D6 se incluyen en el corte.</t>
      </text>
    </comment>
    <comment authorId="0" ref="F22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3">
      <text>
        <t xml:space="preserve">ID existente y único en Creditos.</t>
      </text>
    </comment>
    <comment authorId="0" ref="G225">
      <text>
        <t xml:space="preserve">Referencia de comprobante y explicación de la imputación.</t>
      </text>
    </comment>
    <comment authorId="0" ref="D93">
      <text>
        <t xml:space="preserve">Cuota específica a la que imputas el pago. Si una transferencia paga varias cuotas, distribúyela en filas separadas por cuota.</t>
      </text>
    </comment>
    <comment authorId="0" ref="H225">
      <text>
        <t xml:space="preserve">Revisar pago si faltan datos o la cuota/crédito no existe. Pagos futuros válidos quedan registrados pero excluidos al corte.</t>
      </text>
    </comment>
    <comment authorId="0" ref="E93">
      <text>
        <t xml:space="preserve">Fecha real. Solo pagos hasta Supuestos!D6 se incluyen en el corte.</t>
      </text>
    </comment>
    <comment authorId="0" ref="F9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3">
      <text>
        <t xml:space="preserve">Referencia de comprobante y explicación de la imputación.</t>
      </text>
    </comment>
    <comment authorId="0" ref="H93">
      <text>
        <t xml:space="preserve">Revisar pago si faltan datos o la cuota/crédito no existe. Pagos futuros válidos quedan registrados pero excluidos al corte.</t>
      </text>
    </comment>
    <comment authorId="0" ref="C226">
      <text>
        <t xml:space="preserve">ID existente y único en Creditos.</t>
      </text>
    </comment>
    <comment authorId="0" ref="D226">
      <text>
        <t xml:space="preserve">Cuota específica a la que imputas el pago. Si una transferencia paga varias cuotas, distribúyela en filas separadas por cuota.</t>
      </text>
    </comment>
    <comment authorId="0" ref="E226">
      <text>
        <t xml:space="preserve">Fecha real. Solo pagos hasta Supuestos!D6 se incluyen en el corte.</t>
      </text>
    </comment>
    <comment authorId="0" ref="F22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4">
      <text>
        <t xml:space="preserve">ID existente y único en Creditos.</t>
      </text>
    </comment>
    <comment authorId="0" ref="G226">
      <text>
        <t xml:space="preserve">Referencia de comprobante y explicación de la imputación.</t>
      </text>
    </comment>
    <comment authorId="0" ref="D94">
      <text>
        <t xml:space="preserve">Cuota específica a la que imputas el pago. Si una transferencia paga varias cuotas, distribúyela en filas separadas por cuota.</t>
      </text>
    </comment>
    <comment authorId="0" ref="H226">
      <text>
        <t xml:space="preserve">Revisar pago si faltan datos o la cuota/crédito no existe. Pagos futuros válidos quedan registrados pero excluidos al corte.</t>
      </text>
    </comment>
    <comment authorId="0" ref="E94">
      <text>
        <t xml:space="preserve">Fecha real. Solo pagos hasta Supuestos!D6 se incluyen en el corte.</t>
      </text>
    </comment>
    <comment authorId="0" ref="F9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4">
      <text>
        <t xml:space="preserve">Referencia de comprobante y explicación de la imputación.</t>
      </text>
    </comment>
    <comment authorId="0" ref="H94">
      <text>
        <t xml:space="preserve">Revisar pago si faltan datos o la cuota/crédito no existe. Pagos futuros válidos quedan registrados pero excluidos al corte.</t>
      </text>
    </comment>
    <comment authorId="0" ref="C227">
      <text>
        <t xml:space="preserve">ID existente y único en Creditos.</t>
      </text>
    </comment>
    <comment authorId="0" ref="D227">
      <text>
        <t xml:space="preserve">Cuota específica a la que imputas el pago. Si una transferencia paga varias cuotas, distribúyela en filas separadas por cuota.</t>
      </text>
    </comment>
    <comment authorId="0" ref="E227">
      <text>
        <t xml:space="preserve">Fecha real. Solo pagos hasta Supuestos!D6 se incluyen en el corte.</t>
      </text>
    </comment>
    <comment authorId="0" ref="F22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5">
      <text>
        <t xml:space="preserve">ID existente y único en Creditos.</t>
      </text>
    </comment>
    <comment authorId="0" ref="G227">
      <text>
        <t xml:space="preserve">Referencia de comprobante y explicación de la imputación.</t>
      </text>
    </comment>
    <comment authorId="0" ref="D95">
      <text>
        <t xml:space="preserve">Cuota específica a la que imputas el pago. Si una transferencia paga varias cuotas, distribúyela en filas separadas por cuota.</t>
      </text>
    </comment>
    <comment authorId="0" ref="H227">
      <text>
        <t xml:space="preserve">Revisar pago si faltan datos o la cuota/crédito no existe. Pagos futuros válidos quedan registrados pero excluidos al corte.</t>
      </text>
    </comment>
    <comment authorId="0" ref="E95">
      <text>
        <t xml:space="preserve">Fecha real. Solo pagos hasta Supuestos!D6 se incluyen en el corte.</t>
      </text>
    </comment>
    <comment authorId="0" ref="F9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5">
      <text>
        <t xml:space="preserve">Referencia de comprobante y explicación de la imputación.</t>
      </text>
    </comment>
    <comment authorId="0" ref="H95">
      <text>
        <t xml:space="preserve">Revisar pago si faltan datos o la cuota/crédito no existe. Pagos futuros válidos quedan registrados pero excluidos al corte.</t>
      </text>
    </comment>
    <comment authorId="0" ref="C228">
      <text>
        <t xml:space="preserve">ID existente y único en Creditos.</t>
      </text>
    </comment>
    <comment authorId="0" ref="D228">
      <text>
        <t xml:space="preserve">Cuota específica a la que imputas el pago. Si una transferencia paga varias cuotas, distribúyela en filas separadas por cuota.</t>
      </text>
    </comment>
    <comment authorId="0" ref="E228">
      <text>
        <t xml:space="preserve">Fecha real. Solo pagos hasta Supuestos!D6 se incluyen en el corte.</t>
      </text>
    </comment>
    <comment authorId="0" ref="F22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6">
      <text>
        <t xml:space="preserve">ID existente y único en Creditos.</t>
      </text>
    </comment>
    <comment authorId="0" ref="G228">
      <text>
        <t xml:space="preserve">Referencia de comprobante y explicación de la imputación.</t>
      </text>
    </comment>
    <comment authorId="0" ref="D96">
      <text>
        <t xml:space="preserve">Cuota específica a la que imputas el pago. Si una transferencia paga varias cuotas, distribúyela en filas separadas por cuota.</t>
      </text>
    </comment>
    <comment authorId="0" ref="H228">
      <text>
        <t xml:space="preserve">Revisar pago si faltan datos o la cuota/crédito no existe. Pagos futuros válidos quedan registrados pero excluidos al corte.</t>
      </text>
    </comment>
    <comment authorId="0" ref="E96">
      <text>
        <t xml:space="preserve">Fecha real. Solo pagos hasta Supuestos!D6 se incluyen en el corte.</t>
      </text>
    </comment>
    <comment authorId="0" ref="F9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6">
      <text>
        <t xml:space="preserve">Referencia de comprobante y explicación de la imputación.</t>
      </text>
    </comment>
    <comment authorId="0" ref="H96">
      <text>
        <t xml:space="preserve">Revisar pago si faltan datos o la cuota/crédito no existe. Pagos futuros válidos quedan registrados pero excluidos al corte.</t>
      </text>
    </comment>
    <comment authorId="0" ref="C229">
      <text>
        <t xml:space="preserve">ID existente y único en Creditos.</t>
      </text>
    </comment>
    <comment authorId="0" ref="D229">
      <text>
        <t xml:space="preserve">Cuota específica a la que imputas el pago. Si una transferencia paga varias cuotas, distribúyela en filas separadas por cuota.</t>
      </text>
    </comment>
    <comment authorId="0" ref="E229">
      <text>
        <t xml:space="preserve">Fecha real. Solo pagos hasta Supuestos!D6 se incluyen en el corte.</t>
      </text>
    </comment>
    <comment authorId="0" ref="F22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7">
      <text>
        <t xml:space="preserve">ID existente y único en Creditos.</t>
      </text>
    </comment>
    <comment authorId="0" ref="G229">
      <text>
        <t xml:space="preserve">Referencia de comprobante y explicación de la imputación.</t>
      </text>
    </comment>
    <comment authorId="0" ref="D97">
      <text>
        <t xml:space="preserve">Cuota específica a la que imputas el pago. Si una transferencia paga varias cuotas, distribúyela en filas separadas por cuota.</t>
      </text>
    </comment>
    <comment authorId="0" ref="H229">
      <text>
        <t xml:space="preserve">Revisar pago si faltan datos o la cuota/crédito no existe. Pagos futuros válidos quedan registrados pero excluidos al corte.</t>
      </text>
    </comment>
    <comment authorId="0" ref="E97">
      <text>
        <t xml:space="preserve">Fecha real. Solo pagos hasta Supuestos!D6 se incluyen en el corte.</t>
      </text>
    </comment>
    <comment authorId="0" ref="F9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7">
      <text>
        <t xml:space="preserve">Referencia de comprobante y explicación de la imputación.</t>
      </text>
    </comment>
    <comment authorId="0" ref="H97">
      <text>
        <t xml:space="preserve">Revisar pago si faltan datos o la cuota/crédito no existe. Pagos futuros válidos quedan registrados pero excluidos al corte.</t>
      </text>
    </comment>
    <comment authorId="0" ref="C230">
      <text>
        <t xml:space="preserve">ID existente y único en Creditos.</t>
      </text>
    </comment>
    <comment authorId="0" ref="D230">
      <text>
        <t xml:space="preserve">Cuota específica a la que imputas el pago. Si una transferencia paga varias cuotas, distribúyela en filas separadas por cuota.</t>
      </text>
    </comment>
    <comment authorId="0" ref="E230">
      <text>
        <t xml:space="preserve">Fecha real. Solo pagos hasta Supuestos!D6 se incluyen en el corte.</t>
      </text>
    </comment>
    <comment authorId="0" ref="F23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8">
      <text>
        <t xml:space="preserve">ID existente y único en Creditos.</t>
      </text>
    </comment>
    <comment authorId="0" ref="G230">
      <text>
        <t xml:space="preserve">Referencia de comprobante y explicación de la imputación.</t>
      </text>
    </comment>
    <comment authorId="0" ref="D98">
      <text>
        <t xml:space="preserve">Cuota específica a la que imputas el pago. Si una transferencia paga varias cuotas, distribúyela en filas separadas por cuota.</t>
      </text>
    </comment>
    <comment authorId="0" ref="H230">
      <text>
        <t xml:space="preserve">Revisar pago si faltan datos o la cuota/crédito no existe. Pagos futuros válidos quedan registrados pero excluidos al corte.</t>
      </text>
    </comment>
    <comment authorId="0" ref="E98">
      <text>
        <t xml:space="preserve">Fecha real. Solo pagos hasta Supuestos!D6 se incluyen en el corte.</t>
      </text>
    </comment>
    <comment authorId="0" ref="F9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8">
      <text>
        <t xml:space="preserve">Referencia de comprobante y explicación de la imputación.</t>
      </text>
    </comment>
    <comment authorId="0" ref="H98">
      <text>
        <t xml:space="preserve">Revisar pago si faltan datos o la cuota/crédito no existe. Pagos futuros válidos quedan registrados pero excluidos al corte.</t>
      </text>
    </comment>
    <comment authorId="0" ref="C231">
      <text>
        <t xml:space="preserve">ID existente y único en Creditos.</t>
      </text>
    </comment>
    <comment authorId="0" ref="D231">
      <text>
        <t xml:space="preserve">Cuota específica a la que imputas el pago. Si una transferencia paga varias cuotas, distribúyela en filas separadas por cuota.</t>
      </text>
    </comment>
    <comment authorId="0" ref="E231">
      <text>
        <t xml:space="preserve">Fecha real. Solo pagos hasta Supuestos!D6 se incluyen en el corte.</t>
      </text>
    </comment>
    <comment authorId="0" ref="F23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99">
      <text>
        <t xml:space="preserve">ID existente y único en Creditos.</t>
      </text>
    </comment>
    <comment authorId="0" ref="G231">
      <text>
        <t xml:space="preserve">Referencia de comprobante y explicación de la imputación.</t>
      </text>
    </comment>
    <comment authorId="0" ref="D99">
      <text>
        <t xml:space="preserve">Cuota específica a la que imputas el pago. Si una transferencia paga varias cuotas, distribúyela en filas separadas por cuota.</t>
      </text>
    </comment>
    <comment authorId="0" ref="H231">
      <text>
        <t xml:space="preserve">Revisar pago si faltan datos o la cuota/crédito no existe. Pagos futuros válidos quedan registrados pero excluidos al corte.</t>
      </text>
    </comment>
    <comment authorId="0" ref="E99">
      <text>
        <t xml:space="preserve">Fecha real. Solo pagos hasta Supuestos!D6 se incluyen en el corte.</t>
      </text>
    </comment>
    <comment authorId="0" ref="F9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99">
      <text>
        <t xml:space="preserve">Referencia de comprobante y explicación de la imputación.</t>
      </text>
    </comment>
    <comment authorId="0" ref="H99">
      <text>
        <t xml:space="preserve">Revisar pago si faltan datos o la cuota/crédito no existe. Pagos futuros válidos quedan registrados pero excluidos al corte.</t>
      </text>
    </comment>
    <comment authorId="0" ref="C232">
      <text>
        <t xml:space="preserve">ID existente y único en Creditos.</t>
      </text>
    </comment>
    <comment authorId="0" ref="D232">
      <text>
        <t xml:space="preserve">Cuota específica a la que imputas el pago. Si una transferencia paga varias cuotas, distribúyela en filas separadas por cuota.</t>
      </text>
    </comment>
    <comment authorId="0" ref="E232">
      <text>
        <t xml:space="preserve">Fecha real. Solo pagos hasta Supuestos!D6 se incluyen en el corte.</t>
      </text>
    </comment>
    <comment authorId="0" ref="F23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0">
      <text>
        <t xml:space="preserve">ID existente y único en Creditos.</t>
      </text>
    </comment>
    <comment authorId="0" ref="G232">
      <text>
        <t xml:space="preserve">Referencia de comprobante y explicación de la imputación.</t>
      </text>
    </comment>
    <comment authorId="0" ref="D100">
      <text>
        <t xml:space="preserve">Cuota específica a la que imputas el pago. Si una transferencia paga varias cuotas, distribúyela en filas separadas por cuota.</t>
      </text>
    </comment>
    <comment authorId="0" ref="H232">
      <text>
        <t xml:space="preserve">Revisar pago si faltan datos o la cuota/crédito no existe. Pagos futuros válidos quedan registrados pero excluidos al corte.</t>
      </text>
    </comment>
    <comment authorId="0" ref="E100">
      <text>
        <t xml:space="preserve">Fecha real. Solo pagos hasta Supuestos!D6 se incluyen en el corte.</t>
      </text>
    </comment>
    <comment authorId="0" ref="F10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0">
      <text>
        <t xml:space="preserve">Referencia de comprobante y explicación de la imputación.</t>
      </text>
    </comment>
    <comment authorId="0" ref="H100">
      <text>
        <t xml:space="preserve">Revisar pago si faltan datos o la cuota/crédito no existe. Pagos futuros válidos quedan registrados pero excluidos al corte.</t>
      </text>
    </comment>
    <comment authorId="0" ref="C233">
      <text>
        <t xml:space="preserve">ID existente y único en Creditos.</t>
      </text>
    </comment>
    <comment authorId="0" ref="D233">
      <text>
        <t xml:space="preserve">Cuota específica a la que imputas el pago. Si una transferencia paga varias cuotas, distribúyela en filas separadas por cuota.</t>
      </text>
    </comment>
    <comment authorId="0" ref="E233">
      <text>
        <t xml:space="preserve">Fecha real. Solo pagos hasta Supuestos!D6 se incluyen en el corte.</t>
      </text>
    </comment>
    <comment authorId="0" ref="F23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1">
      <text>
        <t xml:space="preserve">ID existente y único en Creditos.</t>
      </text>
    </comment>
    <comment authorId="0" ref="G233">
      <text>
        <t xml:space="preserve">Referencia de comprobante y explicación de la imputación.</t>
      </text>
    </comment>
    <comment authorId="0" ref="D101">
      <text>
        <t xml:space="preserve">Cuota específica a la que imputas el pago. Si una transferencia paga varias cuotas, distribúyela en filas separadas por cuota.</t>
      </text>
    </comment>
    <comment authorId="0" ref="H233">
      <text>
        <t xml:space="preserve">Revisar pago si faltan datos o la cuota/crédito no existe. Pagos futuros válidos quedan registrados pero excluidos al corte.</t>
      </text>
    </comment>
    <comment authorId="0" ref="E101">
      <text>
        <t xml:space="preserve">Fecha real. Solo pagos hasta Supuestos!D6 se incluyen en el corte.</t>
      </text>
    </comment>
    <comment authorId="0" ref="F10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1">
      <text>
        <t xml:space="preserve">Referencia de comprobante y explicación de la imputación.</t>
      </text>
    </comment>
    <comment authorId="0" ref="H101">
      <text>
        <t xml:space="preserve">Revisar pago si faltan datos o la cuota/crédito no existe. Pagos futuros válidos quedan registrados pero excluidos al corte.</t>
      </text>
    </comment>
    <comment authorId="0" ref="C234">
      <text>
        <t xml:space="preserve">ID existente y único en Creditos.</t>
      </text>
    </comment>
    <comment authorId="0" ref="D234">
      <text>
        <t xml:space="preserve">Cuota específica a la que imputas el pago. Si una transferencia paga varias cuotas, distribúyela en filas separadas por cuota.</t>
      </text>
    </comment>
    <comment authorId="0" ref="E234">
      <text>
        <t xml:space="preserve">Fecha real. Solo pagos hasta Supuestos!D6 se incluyen en el corte.</t>
      </text>
    </comment>
    <comment authorId="0" ref="F23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2">
      <text>
        <t xml:space="preserve">ID existente y único en Creditos.</t>
      </text>
    </comment>
    <comment authorId="0" ref="G234">
      <text>
        <t xml:space="preserve">Referencia de comprobante y explicación de la imputación.</t>
      </text>
    </comment>
    <comment authorId="0" ref="D102">
      <text>
        <t xml:space="preserve">Cuota específica a la que imputas el pago. Si una transferencia paga varias cuotas, distribúyela en filas separadas por cuota.</t>
      </text>
    </comment>
    <comment authorId="0" ref="H234">
      <text>
        <t xml:space="preserve">Revisar pago si faltan datos o la cuota/crédito no existe. Pagos futuros válidos quedan registrados pero excluidos al corte.</t>
      </text>
    </comment>
    <comment authorId="0" ref="E102">
      <text>
        <t xml:space="preserve">Fecha real. Solo pagos hasta Supuestos!D6 se incluyen en el corte.</t>
      </text>
    </comment>
    <comment authorId="0" ref="F10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2">
      <text>
        <t xml:space="preserve">Referencia de comprobante y explicación de la imputación.</t>
      </text>
    </comment>
    <comment authorId="0" ref="H102">
      <text>
        <t xml:space="preserve">Revisar pago si faltan datos o la cuota/crédito no existe. Pagos futuros válidos quedan registrados pero excluidos al corte.</t>
      </text>
    </comment>
    <comment authorId="0" ref="C235">
      <text>
        <t xml:space="preserve">ID existente y único en Creditos.</t>
      </text>
    </comment>
    <comment authorId="0" ref="D235">
      <text>
        <t xml:space="preserve">Cuota específica a la que imputas el pago. Si una transferencia paga varias cuotas, distribúyela en filas separadas por cuota.</t>
      </text>
    </comment>
    <comment authorId="0" ref="E235">
      <text>
        <t xml:space="preserve">Fecha real. Solo pagos hasta Supuestos!D6 se incluyen en el corte.</t>
      </text>
    </comment>
    <comment authorId="0" ref="F23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3">
      <text>
        <t xml:space="preserve">ID existente y único en Creditos.</t>
      </text>
    </comment>
    <comment authorId="0" ref="G235">
      <text>
        <t xml:space="preserve">Referencia de comprobante y explicación de la imputación.</t>
      </text>
    </comment>
    <comment authorId="0" ref="D103">
      <text>
        <t xml:space="preserve">Cuota específica a la que imputas el pago. Si una transferencia paga varias cuotas, distribúyela en filas separadas por cuota.</t>
      </text>
    </comment>
    <comment authorId="0" ref="H235">
      <text>
        <t xml:space="preserve">Revisar pago si faltan datos o la cuota/crédito no existe. Pagos futuros válidos quedan registrados pero excluidos al corte.</t>
      </text>
    </comment>
    <comment authorId="0" ref="E103">
      <text>
        <t xml:space="preserve">Fecha real. Solo pagos hasta Supuestos!D6 se incluyen en el corte.</t>
      </text>
    </comment>
    <comment authorId="0" ref="F10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3">
      <text>
        <t xml:space="preserve">Referencia de comprobante y explicación de la imputación.</t>
      </text>
    </comment>
    <comment authorId="0" ref="H103">
      <text>
        <t xml:space="preserve">Revisar pago si faltan datos o la cuota/crédito no existe. Pagos futuros válidos quedan registrados pero excluidos al corte.</t>
      </text>
    </comment>
    <comment authorId="0" ref="C236">
      <text>
        <t xml:space="preserve">ID existente y único en Creditos.</t>
      </text>
    </comment>
    <comment authorId="0" ref="D236">
      <text>
        <t xml:space="preserve">Cuota específica a la que imputas el pago. Si una transferencia paga varias cuotas, distribúyela en filas separadas por cuota.</t>
      </text>
    </comment>
    <comment authorId="0" ref="E236">
      <text>
        <t xml:space="preserve">Fecha real. Solo pagos hasta Supuestos!D6 se incluyen en el corte.</t>
      </text>
    </comment>
    <comment authorId="0" ref="F23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4">
      <text>
        <t xml:space="preserve">ID existente y único en Creditos.</t>
      </text>
    </comment>
    <comment authorId="0" ref="G236">
      <text>
        <t xml:space="preserve">Referencia de comprobante y explicación de la imputación.</t>
      </text>
    </comment>
    <comment authorId="0" ref="D104">
      <text>
        <t xml:space="preserve">Cuota específica a la que imputas el pago. Si una transferencia paga varias cuotas, distribúyela en filas separadas por cuota.</t>
      </text>
    </comment>
    <comment authorId="0" ref="H236">
      <text>
        <t xml:space="preserve">Revisar pago si faltan datos o la cuota/crédito no existe. Pagos futuros válidos quedan registrados pero excluidos al corte.</t>
      </text>
    </comment>
    <comment authorId="0" ref="E104">
      <text>
        <t xml:space="preserve">Fecha real. Solo pagos hasta Supuestos!D6 se incluyen en el corte.</t>
      </text>
    </comment>
    <comment authorId="0" ref="F10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4">
      <text>
        <t xml:space="preserve">Referencia de comprobante y explicación de la imputación.</t>
      </text>
    </comment>
    <comment authorId="0" ref="H104">
      <text>
        <t xml:space="preserve">Revisar pago si faltan datos o la cuota/crédito no existe. Pagos futuros válidos quedan registrados pero excluidos al corte.</t>
      </text>
    </comment>
    <comment authorId="0" ref="C237">
      <text>
        <t xml:space="preserve">ID existente y único en Creditos.</t>
      </text>
    </comment>
    <comment authorId="0" ref="D237">
      <text>
        <t xml:space="preserve">Cuota específica a la que imputas el pago. Si una transferencia paga varias cuotas, distribúyela en filas separadas por cuota.</t>
      </text>
    </comment>
    <comment authorId="0" ref="E237">
      <text>
        <t xml:space="preserve">Fecha real. Solo pagos hasta Supuestos!D6 se incluyen en el corte.</t>
      </text>
    </comment>
    <comment authorId="0" ref="F23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5">
      <text>
        <t xml:space="preserve">ID existente y único en Creditos.</t>
      </text>
    </comment>
    <comment authorId="0" ref="G237">
      <text>
        <t xml:space="preserve">Referencia de comprobante y explicación de la imputación.</t>
      </text>
    </comment>
    <comment authorId="0" ref="D105">
      <text>
        <t xml:space="preserve">Cuota específica a la que imputas el pago. Si una transferencia paga varias cuotas, distribúyela en filas separadas por cuota.</t>
      </text>
    </comment>
    <comment authorId="0" ref="H237">
      <text>
        <t xml:space="preserve">Revisar pago si faltan datos o la cuota/crédito no existe. Pagos futuros válidos quedan registrados pero excluidos al corte.</t>
      </text>
    </comment>
    <comment authorId="0" ref="E105">
      <text>
        <t xml:space="preserve">Fecha real. Solo pagos hasta Supuestos!D6 se incluyen en el corte.</t>
      </text>
    </comment>
    <comment authorId="0" ref="F10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5">
      <text>
        <t xml:space="preserve">Referencia de comprobante y explicación de la imputación.</t>
      </text>
    </comment>
    <comment authorId="0" ref="H105">
      <text>
        <t xml:space="preserve">Revisar pago si faltan datos o la cuota/crédito no existe. Pagos futuros válidos quedan registrados pero excluidos al corte.</t>
      </text>
    </comment>
    <comment authorId="0" ref="C238">
      <text>
        <t xml:space="preserve">ID existente y único en Creditos.</t>
      </text>
    </comment>
    <comment authorId="0" ref="D238">
      <text>
        <t xml:space="preserve">Cuota específica a la que imputas el pago. Si una transferencia paga varias cuotas, distribúyela en filas separadas por cuota.</t>
      </text>
    </comment>
    <comment authorId="0" ref="E238">
      <text>
        <t xml:space="preserve">Fecha real. Solo pagos hasta Supuestos!D6 se incluyen en el corte.</t>
      </text>
    </comment>
    <comment authorId="0" ref="F23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6">
      <text>
        <t xml:space="preserve">ID existente y único en Creditos.</t>
      </text>
    </comment>
    <comment authorId="0" ref="G238">
      <text>
        <t xml:space="preserve">Referencia de comprobante y explicación de la imputación.</t>
      </text>
    </comment>
    <comment authorId="0" ref="D106">
      <text>
        <t xml:space="preserve">Cuota específica a la que imputas el pago. Si una transferencia paga varias cuotas, distribúyela en filas separadas por cuota.</t>
      </text>
    </comment>
    <comment authorId="0" ref="H238">
      <text>
        <t xml:space="preserve">Revisar pago si faltan datos o la cuota/crédito no existe. Pagos futuros válidos quedan registrados pero excluidos al corte.</t>
      </text>
    </comment>
    <comment authorId="0" ref="E106">
      <text>
        <t xml:space="preserve">Fecha real. Solo pagos hasta Supuestos!D6 se incluyen en el corte.</t>
      </text>
    </comment>
    <comment authorId="0" ref="F10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6">
      <text>
        <t xml:space="preserve">Referencia de comprobante y explicación de la imputación.</t>
      </text>
    </comment>
    <comment authorId="0" ref="H106">
      <text>
        <t xml:space="preserve">Revisar pago si faltan datos o la cuota/crédito no existe. Pagos futuros válidos quedan registrados pero excluidos al corte.</t>
      </text>
    </comment>
    <comment authorId="0" ref="C239">
      <text>
        <t xml:space="preserve">ID existente y único en Creditos.</t>
      </text>
    </comment>
    <comment authorId="0" ref="D239">
      <text>
        <t xml:space="preserve">Cuota específica a la que imputas el pago. Si una transferencia paga varias cuotas, distribúyela en filas separadas por cuota.</t>
      </text>
    </comment>
    <comment authorId="0" ref="E239">
      <text>
        <t xml:space="preserve">Fecha real. Solo pagos hasta Supuestos!D6 se incluyen en el corte.</t>
      </text>
    </comment>
    <comment authorId="0" ref="F23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7">
      <text>
        <t xml:space="preserve">ID existente y único en Creditos.</t>
      </text>
    </comment>
    <comment authorId="0" ref="G239">
      <text>
        <t xml:space="preserve">Referencia de comprobante y explicación de la imputación.</t>
      </text>
    </comment>
    <comment authorId="0" ref="D107">
      <text>
        <t xml:space="preserve">Cuota específica a la que imputas el pago. Si una transferencia paga varias cuotas, distribúyela en filas separadas por cuota.</t>
      </text>
    </comment>
    <comment authorId="0" ref="H239">
      <text>
        <t xml:space="preserve">Revisar pago si faltan datos o la cuota/crédito no existe. Pagos futuros válidos quedan registrados pero excluidos al corte.</t>
      </text>
    </comment>
    <comment authorId="0" ref="E107">
      <text>
        <t xml:space="preserve">Fecha real. Solo pagos hasta Supuestos!D6 se incluyen en el corte.</t>
      </text>
    </comment>
    <comment authorId="0" ref="F10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7">
      <text>
        <t xml:space="preserve">Referencia de comprobante y explicación de la imputación.</t>
      </text>
    </comment>
    <comment authorId="0" ref="H107">
      <text>
        <t xml:space="preserve">Revisar pago si faltan datos o la cuota/crédito no existe. Pagos futuros válidos quedan registrados pero excluidos al corte.</t>
      </text>
    </comment>
    <comment authorId="0" ref="C240">
      <text>
        <t xml:space="preserve">ID existente y único en Creditos.</t>
      </text>
    </comment>
    <comment authorId="0" ref="D240">
      <text>
        <t xml:space="preserve">Cuota específica a la que imputas el pago. Si una transferencia paga varias cuotas, distribúyela en filas separadas por cuota.</t>
      </text>
    </comment>
    <comment authorId="0" ref="E240">
      <text>
        <t xml:space="preserve">Fecha real. Solo pagos hasta Supuestos!D6 se incluyen en el corte.</t>
      </text>
    </comment>
    <comment authorId="0" ref="F24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8">
      <text>
        <t xml:space="preserve">ID existente y único en Creditos.</t>
      </text>
    </comment>
    <comment authorId="0" ref="G240">
      <text>
        <t xml:space="preserve">Referencia de comprobante y explicación de la imputación.</t>
      </text>
    </comment>
    <comment authorId="0" ref="D108">
      <text>
        <t xml:space="preserve">Cuota específica a la que imputas el pago. Si una transferencia paga varias cuotas, distribúyela en filas separadas por cuota.</t>
      </text>
    </comment>
    <comment authorId="0" ref="H240">
      <text>
        <t xml:space="preserve">Revisar pago si faltan datos o la cuota/crédito no existe. Pagos futuros válidos quedan registrados pero excluidos al corte.</t>
      </text>
    </comment>
    <comment authorId="0" ref="E108">
      <text>
        <t xml:space="preserve">Fecha real. Solo pagos hasta Supuestos!D6 se incluyen en el corte.</t>
      </text>
    </comment>
    <comment authorId="0" ref="F10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8">
      <text>
        <t xml:space="preserve">Referencia de comprobante y explicación de la imputación.</t>
      </text>
    </comment>
    <comment authorId="0" ref="H108">
      <text>
        <t xml:space="preserve">Revisar pago si faltan datos o la cuota/crédito no existe. Pagos futuros válidos quedan registrados pero excluidos al corte.</t>
      </text>
    </comment>
    <comment authorId="0" ref="C241">
      <text>
        <t xml:space="preserve">ID existente y único en Creditos.</t>
      </text>
    </comment>
    <comment authorId="0" ref="D241">
      <text>
        <t xml:space="preserve">Cuota específica a la que imputas el pago. Si una transferencia paga varias cuotas, distribúyela en filas separadas por cuota.</t>
      </text>
    </comment>
    <comment authorId="0" ref="E241">
      <text>
        <t xml:space="preserve">Fecha real. Solo pagos hasta Supuestos!D6 se incluyen en el corte.</t>
      </text>
    </comment>
    <comment authorId="0" ref="F24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09">
      <text>
        <t xml:space="preserve">ID existente y único en Creditos.</t>
      </text>
    </comment>
    <comment authorId="0" ref="G241">
      <text>
        <t xml:space="preserve">Referencia de comprobante y explicación de la imputación.</t>
      </text>
    </comment>
    <comment authorId="0" ref="D109">
      <text>
        <t xml:space="preserve">Cuota específica a la que imputas el pago. Si una transferencia paga varias cuotas, distribúyela en filas separadas por cuota.</t>
      </text>
    </comment>
    <comment authorId="0" ref="H241">
      <text>
        <t xml:space="preserve">Revisar pago si faltan datos o la cuota/crédito no existe. Pagos futuros válidos quedan registrados pero excluidos al corte.</t>
      </text>
    </comment>
    <comment authorId="0" ref="E109">
      <text>
        <t xml:space="preserve">Fecha real. Solo pagos hasta Supuestos!D6 se incluyen en el corte.</t>
      </text>
    </comment>
    <comment authorId="0" ref="F10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09">
      <text>
        <t xml:space="preserve">Referencia de comprobante y explicación de la imputación.</t>
      </text>
    </comment>
    <comment authorId="0" ref="H109">
      <text>
        <t xml:space="preserve">Revisar pago si faltan datos o la cuota/crédito no existe. Pagos futuros válidos quedan registrados pero excluidos al corte.</t>
      </text>
    </comment>
    <comment authorId="0" ref="C242">
      <text>
        <t xml:space="preserve">ID existente y único en Creditos.</t>
      </text>
    </comment>
    <comment authorId="0" ref="D242">
      <text>
        <t xml:space="preserve">Cuota específica a la que imputas el pago. Si una transferencia paga varias cuotas, distribúyela en filas separadas por cuota.</t>
      </text>
    </comment>
    <comment authorId="0" ref="E242">
      <text>
        <t xml:space="preserve">Fecha real. Solo pagos hasta Supuestos!D6 se incluyen en el corte.</t>
      </text>
    </comment>
    <comment authorId="0" ref="F24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0">
      <text>
        <t xml:space="preserve">ID existente y único en Creditos.</t>
      </text>
    </comment>
    <comment authorId="0" ref="G242">
      <text>
        <t xml:space="preserve">Referencia de comprobante y explicación de la imputación.</t>
      </text>
    </comment>
    <comment authorId="0" ref="D110">
      <text>
        <t xml:space="preserve">Cuota específica a la que imputas el pago. Si una transferencia paga varias cuotas, distribúyela en filas separadas por cuota.</t>
      </text>
    </comment>
    <comment authorId="0" ref="H242">
      <text>
        <t xml:space="preserve">Revisar pago si faltan datos o la cuota/crédito no existe. Pagos futuros válidos quedan registrados pero excluidos al corte.</t>
      </text>
    </comment>
    <comment authorId="0" ref="E110">
      <text>
        <t xml:space="preserve">Fecha real. Solo pagos hasta Supuestos!D6 se incluyen en el corte.</t>
      </text>
    </comment>
    <comment authorId="0" ref="F11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0">
      <text>
        <t xml:space="preserve">Referencia de comprobante y explicación de la imputación.</t>
      </text>
    </comment>
    <comment authorId="0" ref="H110">
      <text>
        <t xml:space="preserve">Revisar pago si faltan datos o la cuota/crédito no existe. Pagos futuros válidos quedan registrados pero excluidos al corte.</t>
      </text>
    </comment>
    <comment authorId="0" ref="C243">
      <text>
        <t xml:space="preserve">ID existente y único en Creditos.</t>
      </text>
    </comment>
    <comment authorId="0" ref="D243">
      <text>
        <t xml:space="preserve">Cuota específica a la que imputas el pago. Si una transferencia paga varias cuotas, distribúyela en filas separadas por cuota.</t>
      </text>
    </comment>
    <comment authorId="0" ref="E243">
      <text>
        <t xml:space="preserve">Fecha real. Solo pagos hasta Supuestos!D6 se incluyen en el corte.</t>
      </text>
    </comment>
    <comment authorId="0" ref="F24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1">
      <text>
        <t xml:space="preserve">ID existente y único en Creditos.</t>
      </text>
    </comment>
    <comment authorId="0" ref="G243">
      <text>
        <t xml:space="preserve">Referencia de comprobante y explicación de la imputación.</t>
      </text>
    </comment>
    <comment authorId="0" ref="D111">
      <text>
        <t xml:space="preserve">Cuota específica a la que imputas el pago. Si una transferencia paga varias cuotas, distribúyela en filas separadas por cuota.</t>
      </text>
    </comment>
    <comment authorId="0" ref="H243">
      <text>
        <t xml:space="preserve">Revisar pago si faltan datos o la cuota/crédito no existe. Pagos futuros válidos quedan registrados pero excluidos al corte.</t>
      </text>
    </comment>
    <comment authorId="0" ref="E111">
      <text>
        <t xml:space="preserve">Fecha real. Solo pagos hasta Supuestos!D6 se incluyen en el corte.</t>
      </text>
    </comment>
    <comment authorId="0" ref="F11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1">
      <text>
        <t xml:space="preserve">Referencia de comprobante y explicación de la imputación.</t>
      </text>
    </comment>
    <comment authorId="0" ref="H111">
      <text>
        <t xml:space="preserve">Revisar pago si faltan datos o la cuota/crédito no existe. Pagos futuros válidos quedan registrados pero excluidos al corte.</t>
      </text>
    </comment>
    <comment authorId="0" ref="C244">
      <text>
        <t xml:space="preserve">ID existente y único en Creditos.</t>
      </text>
    </comment>
    <comment authorId="0" ref="D244">
      <text>
        <t xml:space="preserve">Cuota específica a la que imputas el pago. Si una transferencia paga varias cuotas, distribúyela en filas separadas por cuota.</t>
      </text>
    </comment>
    <comment authorId="0" ref="E244">
      <text>
        <t xml:space="preserve">Fecha real. Solo pagos hasta Supuestos!D6 se incluyen en el corte.</t>
      </text>
    </comment>
    <comment authorId="0" ref="F24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2">
      <text>
        <t xml:space="preserve">ID existente y único en Creditos.</t>
      </text>
    </comment>
    <comment authorId="0" ref="G244">
      <text>
        <t xml:space="preserve">Referencia de comprobante y explicación de la imputación.</t>
      </text>
    </comment>
    <comment authorId="0" ref="D112">
      <text>
        <t xml:space="preserve">Cuota específica a la que imputas el pago. Si una transferencia paga varias cuotas, distribúyela en filas separadas por cuota.</t>
      </text>
    </comment>
    <comment authorId="0" ref="H244">
      <text>
        <t xml:space="preserve">Revisar pago si faltan datos o la cuota/crédito no existe. Pagos futuros válidos quedan registrados pero excluidos al corte.</t>
      </text>
    </comment>
    <comment authorId="0" ref="E112">
      <text>
        <t xml:space="preserve">Fecha real. Solo pagos hasta Supuestos!D6 se incluyen en el corte.</t>
      </text>
    </comment>
    <comment authorId="0" ref="F11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2">
      <text>
        <t xml:space="preserve">Referencia de comprobante y explicación de la imputación.</t>
      </text>
    </comment>
    <comment authorId="0" ref="H112">
      <text>
        <t xml:space="preserve">Revisar pago si faltan datos o la cuota/crédito no existe. Pagos futuros válidos quedan registrados pero excluidos al corte.</t>
      </text>
    </comment>
    <comment authorId="0" ref="C245">
      <text>
        <t xml:space="preserve">ID existente y único en Creditos.</t>
      </text>
    </comment>
    <comment authorId="0" ref="D245">
      <text>
        <t xml:space="preserve">Cuota específica a la que imputas el pago. Si una transferencia paga varias cuotas, distribúyela en filas separadas por cuota.</t>
      </text>
    </comment>
    <comment authorId="0" ref="E245">
      <text>
        <t xml:space="preserve">Fecha real. Solo pagos hasta Supuestos!D6 se incluyen en el corte.</t>
      </text>
    </comment>
    <comment authorId="0" ref="F24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3">
      <text>
        <t xml:space="preserve">ID existente y único en Creditos.</t>
      </text>
    </comment>
    <comment authorId="0" ref="G245">
      <text>
        <t xml:space="preserve">Referencia de comprobante y explicación de la imputación.</t>
      </text>
    </comment>
    <comment authorId="0" ref="D113">
      <text>
        <t xml:space="preserve">Cuota específica a la que imputas el pago. Si una transferencia paga varias cuotas, distribúyela en filas separadas por cuota.</t>
      </text>
    </comment>
    <comment authorId="0" ref="H245">
      <text>
        <t xml:space="preserve">Revisar pago si faltan datos o la cuota/crédito no existe. Pagos futuros válidos quedan registrados pero excluidos al corte.</t>
      </text>
    </comment>
    <comment authorId="0" ref="E113">
      <text>
        <t xml:space="preserve">Fecha real. Solo pagos hasta Supuestos!D6 se incluyen en el corte.</t>
      </text>
    </comment>
    <comment authorId="0" ref="F11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3">
      <text>
        <t xml:space="preserve">Referencia de comprobante y explicación de la imputación.</t>
      </text>
    </comment>
    <comment authorId="0" ref="H113">
      <text>
        <t xml:space="preserve">Revisar pago si faltan datos o la cuota/crédito no existe. Pagos futuros válidos quedan registrados pero excluidos al corte.</t>
      </text>
    </comment>
    <comment authorId="0" ref="C246">
      <text>
        <t xml:space="preserve">ID existente y único en Creditos.</t>
      </text>
    </comment>
    <comment authorId="0" ref="D246">
      <text>
        <t xml:space="preserve">Cuota específica a la que imputas el pago. Si una transferencia paga varias cuotas, distribúyela en filas separadas por cuota.</t>
      </text>
    </comment>
    <comment authorId="0" ref="E246">
      <text>
        <t xml:space="preserve">Fecha real. Solo pagos hasta Supuestos!D6 se incluyen en el corte.</t>
      </text>
    </comment>
    <comment authorId="0" ref="F24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4">
      <text>
        <t xml:space="preserve">ID existente y único en Creditos.</t>
      </text>
    </comment>
    <comment authorId="0" ref="G246">
      <text>
        <t xml:space="preserve">Referencia de comprobante y explicación de la imputación.</t>
      </text>
    </comment>
    <comment authorId="0" ref="D114">
      <text>
        <t xml:space="preserve">Cuota específica a la que imputas el pago. Si una transferencia paga varias cuotas, distribúyela en filas separadas por cuota.</t>
      </text>
    </comment>
    <comment authorId="0" ref="H246">
      <text>
        <t xml:space="preserve">Revisar pago si faltan datos o la cuota/crédito no existe. Pagos futuros válidos quedan registrados pero excluidos al corte.</t>
      </text>
    </comment>
    <comment authorId="0" ref="E114">
      <text>
        <t xml:space="preserve">Fecha real. Solo pagos hasta Supuestos!D6 se incluyen en el corte.</t>
      </text>
    </comment>
    <comment authorId="0" ref="F11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4">
      <text>
        <t xml:space="preserve">Referencia de comprobante y explicación de la imputación.</t>
      </text>
    </comment>
    <comment authorId="0" ref="H114">
      <text>
        <t xml:space="preserve">Revisar pago si faltan datos o la cuota/crédito no existe. Pagos futuros válidos quedan registrados pero excluidos al corte.</t>
      </text>
    </comment>
    <comment authorId="0" ref="C247">
      <text>
        <t xml:space="preserve">ID existente y único en Creditos.</t>
      </text>
    </comment>
    <comment authorId="0" ref="D247">
      <text>
        <t xml:space="preserve">Cuota específica a la que imputas el pago. Si una transferencia paga varias cuotas, distribúyela en filas separadas por cuota.</t>
      </text>
    </comment>
    <comment authorId="0" ref="E247">
      <text>
        <t xml:space="preserve">Fecha real. Solo pagos hasta Supuestos!D6 se incluyen en el corte.</t>
      </text>
    </comment>
    <comment authorId="0" ref="F24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5">
      <text>
        <t xml:space="preserve">ID existente y único en Creditos.</t>
      </text>
    </comment>
    <comment authorId="0" ref="G247">
      <text>
        <t xml:space="preserve">Referencia de comprobante y explicación de la imputación.</t>
      </text>
    </comment>
    <comment authorId="0" ref="D115">
      <text>
        <t xml:space="preserve">Cuota específica a la que imputas el pago. Si una transferencia paga varias cuotas, distribúyela en filas separadas por cuota.</t>
      </text>
    </comment>
    <comment authorId="0" ref="H247">
      <text>
        <t xml:space="preserve">Revisar pago si faltan datos o la cuota/crédito no existe. Pagos futuros válidos quedan registrados pero excluidos al corte.</t>
      </text>
    </comment>
    <comment authorId="0" ref="E115">
      <text>
        <t xml:space="preserve">Fecha real. Solo pagos hasta Supuestos!D6 se incluyen en el corte.</t>
      </text>
    </comment>
    <comment authorId="0" ref="F11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5">
      <text>
        <t xml:space="preserve">Referencia de comprobante y explicación de la imputación.</t>
      </text>
    </comment>
    <comment authorId="0" ref="H115">
      <text>
        <t xml:space="preserve">Revisar pago si faltan datos o la cuota/crédito no existe. Pagos futuros válidos quedan registrados pero excluidos al corte.</t>
      </text>
    </comment>
    <comment authorId="0" ref="C248">
      <text>
        <t xml:space="preserve">ID existente y único en Creditos.</t>
      </text>
    </comment>
    <comment authorId="0" ref="D248">
      <text>
        <t xml:space="preserve">Cuota específica a la que imputas el pago. Si una transferencia paga varias cuotas, distribúyela en filas separadas por cuota.</t>
      </text>
    </comment>
    <comment authorId="0" ref="E248">
      <text>
        <t xml:space="preserve">Fecha real. Solo pagos hasta Supuestos!D6 se incluyen en el corte.</t>
      </text>
    </comment>
    <comment authorId="0" ref="F24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6">
      <text>
        <t xml:space="preserve">ID existente y único en Creditos.</t>
      </text>
    </comment>
    <comment authorId="0" ref="G248">
      <text>
        <t xml:space="preserve">Referencia de comprobante y explicación de la imputación.</t>
      </text>
    </comment>
    <comment authorId="0" ref="D116">
      <text>
        <t xml:space="preserve">Cuota específica a la que imputas el pago. Si una transferencia paga varias cuotas, distribúyela en filas separadas por cuota.</t>
      </text>
    </comment>
    <comment authorId="0" ref="H248">
      <text>
        <t xml:space="preserve">Revisar pago si faltan datos o la cuota/crédito no existe. Pagos futuros válidos quedan registrados pero excluidos al corte.</t>
      </text>
    </comment>
    <comment authorId="0" ref="E116">
      <text>
        <t xml:space="preserve">Fecha real. Solo pagos hasta Supuestos!D6 se incluyen en el corte.</t>
      </text>
    </comment>
    <comment authorId="0" ref="F11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6">
      <text>
        <t xml:space="preserve">Referencia de comprobante y explicación de la imputación.</t>
      </text>
    </comment>
    <comment authorId="0" ref="H116">
      <text>
        <t xml:space="preserve">Revisar pago si faltan datos o la cuota/crédito no existe. Pagos futuros válidos quedan registrados pero excluidos al corte.</t>
      </text>
    </comment>
    <comment authorId="0" ref="C249">
      <text>
        <t xml:space="preserve">ID existente y único en Creditos.</t>
      </text>
    </comment>
    <comment authorId="0" ref="D249">
      <text>
        <t xml:space="preserve">Cuota específica a la que imputas el pago. Si una transferencia paga varias cuotas, distribúyela en filas separadas por cuota.</t>
      </text>
    </comment>
    <comment authorId="0" ref="E249">
      <text>
        <t xml:space="preserve">Fecha real. Solo pagos hasta Supuestos!D6 se incluyen en el corte.</t>
      </text>
    </comment>
    <comment authorId="0" ref="F24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7">
      <text>
        <t xml:space="preserve">ID existente y único en Creditos.</t>
      </text>
    </comment>
    <comment authorId="0" ref="G249">
      <text>
        <t xml:space="preserve">Referencia de comprobante y explicación de la imputación.</t>
      </text>
    </comment>
    <comment authorId="0" ref="D117">
      <text>
        <t xml:space="preserve">Cuota específica a la que imputas el pago. Si una transferencia paga varias cuotas, distribúyela en filas separadas por cuota.</t>
      </text>
    </comment>
    <comment authorId="0" ref="H249">
      <text>
        <t xml:space="preserve">Revisar pago si faltan datos o la cuota/crédito no existe. Pagos futuros válidos quedan registrados pero excluidos al corte.</t>
      </text>
    </comment>
    <comment authorId="0" ref="E117">
      <text>
        <t xml:space="preserve">Fecha real. Solo pagos hasta Supuestos!D6 se incluyen en el corte.</t>
      </text>
    </comment>
    <comment authorId="0" ref="F11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7">
      <text>
        <t xml:space="preserve">Referencia de comprobante y explicación de la imputación.</t>
      </text>
    </comment>
    <comment authorId="0" ref="H117">
      <text>
        <t xml:space="preserve">Revisar pago si faltan datos o la cuota/crédito no existe. Pagos futuros válidos quedan registrados pero excluidos al corte.</t>
      </text>
    </comment>
    <comment authorId="0" ref="C250">
      <text>
        <t xml:space="preserve">ID existente y único en Creditos.</t>
      </text>
    </comment>
    <comment authorId="0" ref="D250">
      <text>
        <t xml:space="preserve">Cuota específica a la que imputas el pago. Si una transferencia paga varias cuotas, distribúyela en filas separadas por cuota.</t>
      </text>
    </comment>
    <comment authorId="0" ref="E250">
      <text>
        <t xml:space="preserve">Fecha real. Solo pagos hasta Supuestos!D6 se incluyen en el corte.</t>
      </text>
    </comment>
    <comment authorId="0" ref="F25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8">
      <text>
        <t xml:space="preserve">ID existente y único en Creditos.</t>
      </text>
    </comment>
    <comment authorId="0" ref="G250">
      <text>
        <t xml:space="preserve">Referencia de comprobante y explicación de la imputación.</t>
      </text>
    </comment>
    <comment authorId="0" ref="D118">
      <text>
        <t xml:space="preserve">Cuota específica a la que imputas el pago. Si una transferencia paga varias cuotas, distribúyela en filas separadas por cuota.</t>
      </text>
    </comment>
    <comment authorId="0" ref="H250">
      <text>
        <t xml:space="preserve">Revisar pago si faltan datos o la cuota/crédito no existe. Pagos futuros válidos quedan registrados pero excluidos al corte.</t>
      </text>
    </comment>
    <comment authorId="0" ref="E118">
      <text>
        <t xml:space="preserve">Fecha real. Solo pagos hasta Supuestos!D6 se incluyen en el corte.</t>
      </text>
    </comment>
    <comment authorId="0" ref="F11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8">
      <text>
        <t xml:space="preserve">Referencia de comprobante y explicación de la imputación.</t>
      </text>
    </comment>
    <comment authorId="0" ref="H118">
      <text>
        <t xml:space="preserve">Revisar pago si faltan datos o la cuota/crédito no existe. Pagos futuros válidos quedan registrados pero excluidos al corte.</t>
      </text>
    </comment>
    <comment authorId="0" ref="C251">
      <text>
        <t xml:space="preserve">ID existente y único en Creditos.</t>
      </text>
    </comment>
    <comment authorId="0" ref="D251">
      <text>
        <t xml:space="preserve">Cuota específica a la que imputas el pago. Si una transferencia paga varias cuotas, distribúyela en filas separadas por cuota.</t>
      </text>
    </comment>
    <comment authorId="0" ref="E251">
      <text>
        <t xml:space="preserve">Fecha real. Solo pagos hasta Supuestos!D6 se incluyen en el corte.</t>
      </text>
    </comment>
    <comment authorId="0" ref="F25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19">
      <text>
        <t xml:space="preserve">ID existente y único en Creditos.</t>
      </text>
    </comment>
    <comment authorId="0" ref="G251">
      <text>
        <t xml:space="preserve">Referencia de comprobante y explicación de la imputación.</t>
      </text>
    </comment>
    <comment authorId="0" ref="D119">
      <text>
        <t xml:space="preserve">Cuota específica a la que imputas el pago. Si una transferencia paga varias cuotas, distribúyela en filas separadas por cuota.</t>
      </text>
    </comment>
    <comment authorId="0" ref="H251">
      <text>
        <t xml:space="preserve">Revisar pago si faltan datos o la cuota/crédito no existe. Pagos futuros válidos quedan registrados pero excluidos al corte.</t>
      </text>
    </comment>
    <comment authorId="0" ref="E119">
      <text>
        <t xml:space="preserve">Fecha real. Solo pagos hasta Supuestos!D6 se incluyen en el corte.</t>
      </text>
    </comment>
    <comment authorId="0" ref="F11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19">
      <text>
        <t xml:space="preserve">Referencia de comprobante y explicación de la imputación.</t>
      </text>
    </comment>
    <comment authorId="0" ref="H119">
      <text>
        <t xml:space="preserve">Revisar pago si faltan datos o la cuota/crédito no existe. Pagos futuros válidos quedan registrados pero excluidos al corte.</t>
      </text>
    </comment>
    <comment authorId="0" ref="C252">
      <text>
        <t xml:space="preserve">ID existente y único en Creditos.</t>
      </text>
    </comment>
    <comment authorId="0" ref="D252">
      <text>
        <t xml:space="preserve">Cuota específica a la que imputas el pago. Si una transferencia paga varias cuotas, distribúyela en filas separadas por cuota.</t>
      </text>
    </comment>
    <comment authorId="0" ref="E252">
      <text>
        <t xml:space="preserve">Fecha real. Solo pagos hasta Supuestos!D6 se incluyen en el corte.</t>
      </text>
    </comment>
    <comment authorId="0" ref="F25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0">
      <text>
        <t xml:space="preserve">ID existente y único en Creditos.</t>
      </text>
    </comment>
    <comment authorId="0" ref="G252">
      <text>
        <t xml:space="preserve">Referencia de comprobante y explicación de la imputación.</t>
      </text>
    </comment>
    <comment authorId="0" ref="D120">
      <text>
        <t xml:space="preserve">Cuota específica a la que imputas el pago. Si una transferencia paga varias cuotas, distribúyela en filas separadas por cuota.</t>
      </text>
    </comment>
    <comment authorId="0" ref="H252">
      <text>
        <t xml:space="preserve">Revisar pago si faltan datos o la cuota/crédito no existe. Pagos futuros válidos quedan registrados pero excluidos al corte.</t>
      </text>
    </comment>
    <comment authorId="0" ref="E120">
      <text>
        <t xml:space="preserve">Fecha real. Solo pagos hasta Supuestos!D6 se incluyen en el corte.</t>
      </text>
    </comment>
    <comment authorId="0" ref="F12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0">
      <text>
        <t xml:space="preserve">Referencia de comprobante y explicación de la imputación.</t>
      </text>
    </comment>
    <comment authorId="0" ref="H120">
      <text>
        <t xml:space="preserve">Revisar pago si faltan datos o la cuota/crédito no existe. Pagos futuros válidos quedan registrados pero excluidos al corte.</t>
      </text>
    </comment>
    <comment authorId="0" ref="C253">
      <text>
        <t xml:space="preserve">ID existente y único en Creditos.</t>
      </text>
    </comment>
    <comment authorId="0" ref="D253">
      <text>
        <t xml:space="preserve">Cuota específica a la que imputas el pago. Si una transferencia paga varias cuotas, distribúyela en filas separadas por cuota.</t>
      </text>
    </comment>
    <comment authorId="0" ref="E253">
      <text>
        <t xml:space="preserve">Fecha real. Solo pagos hasta Supuestos!D6 se incluyen en el corte.</t>
      </text>
    </comment>
    <comment authorId="0" ref="F25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1">
      <text>
        <t xml:space="preserve">ID existente y único en Creditos.</t>
      </text>
    </comment>
    <comment authorId="0" ref="G253">
      <text>
        <t xml:space="preserve">Referencia de comprobante y explicación de la imputación.</t>
      </text>
    </comment>
    <comment authorId="0" ref="D121">
      <text>
        <t xml:space="preserve">Cuota específica a la que imputas el pago. Si una transferencia paga varias cuotas, distribúyela en filas separadas por cuota.</t>
      </text>
    </comment>
    <comment authorId="0" ref="H253">
      <text>
        <t xml:space="preserve">Revisar pago si faltan datos o la cuota/crédito no existe. Pagos futuros válidos quedan registrados pero excluidos al corte.</t>
      </text>
    </comment>
    <comment authorId="0" ref="E121">
      <text>
        <t xml:space="preserve">Fecha real. Solo pagos hasta Supuestos!D6 se incluyen en el corte.</t>
      </text>
    </comment>
    <comment authorId="0" ref="F12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1">
      <text>
        <t xml:space="preserve">Referencia de comprobante y explicación de la imputación.</t>
      </text>
    </comment>
    <comment authorId="0" ref="H121">
      <text>
        <t xml:space="preserve">Revisar pago si faltan datos o la cuota/crédito no existe. Pagos futuros válidos quedan registrados pero excluidos al corte.</t>
      </text>
    </comment>
    <comment authorId="0" ref="C254">
      <text>
        <t xml:space="preserve">ID existente y único en Creditos.</t>
      </text>
    </comment>
    <comment authorId="0" ref="D254">
      <text>
        <t xml:space="preserve">Cuota específica a la que imputas el pago. Si una transferencia paga varias cuotas, distribúyela en filas separadas por cuota.</t>
      </text>
    </comment>
    <comment authorId="0" ref="E254">
      <text>
        <t xml:space="preserve">Fecha real. Solo pagos hasta Supuestos!D6 se incluyen en el corte.</t>
      </text>
    </comment>
    <comment authorId="0" ref="F25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2">
      <text>
        <t xml:space="preserve">ID existente y único en Creditos.</t>
      </text>
    </comment>
    <comment authorId="0" ref="G254">
      <text>
        <t xml:space="preserve">Referencia de comprobante y explicación de la imputación.</t>
      </text>
    </comment>
    <comment authorId="0" ref="D122">
      <text>
        <t xml:space="preserve">Cuota específica a la que imputas el pago. Si una transferencia paga varias cuotas, distribúyela en filas separadas por cuota.</t>
      </text>
    </comment>
    <comment authorId="0" ref="H254">
      <text>
        <t xml:space="preserve">Revisar pago si faltan datos o la cuota/crédito no existe. Pagos futuros válidos quedan registrados pero excluidos al corte.</t>
      </text>
    </comment>
    <comment authorId="0" ref="E122">
      <text>
        <t xml:space="preserve">Fecha real. Solo pagos hasta Supuestos!D6 se incluyen en el corte.</t>
      </text>
    </comment>
    <comment authorId="0" ref="F12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2">
      <text>
        <t xml:space="preserve">Referencia de comprobante y explicación de la imputación.</t>
      </text>
    </comment>
    <comment authorId="0" ref="H122">
      <text>
        <t xml:space="preserve">Revisar pago si faltan datos o la cuota/crédito no existe. Pagos futuros válidos quedan registrados pero excluidos al corte.</t>
      </text>
    </comment>
    <comment authorId="0" ref="C255">
      <text>
        <t xml:space="preserve">ID existente y único en Creditos.</t>
      </text>
    </comment>
    <comment authorId="0" ref="D255">
      <text>
        <t xml:space="preserve">Cuota específica a la que imputas el pago. Si una transferencia paga varias cuotas, distribúyela en filas separadas por cuota.</t>
      </text>
    </comment>
    <comment authorId="0" ref="E255">
      <text>
        <t xml:space="preserve">Fecha real. Solo pagos hasta Supuestos!D6 se incluyen en el corte.</t>
      </text>
    </comment>
    <comment authorId="0" ref="F25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3">
      <text>
        <t xml:space="preserve">ID existente y único en Creditos.</t>
      </text>
    </comment>
    <comment authorId="0" ref="G255">
      <text>
        <t xml:space="preserve">Referencia de comprobante y explicación de la imputación.</t>
      </text>
    </comment>
    <comment authorId="0" ref="D123">
      <text>
        <t xml:space="preserve">Cuota específica a la que imputas el pago. Si una transferencia paga varias cuotas, distribúyela en filas separadas por cuota.</t>
      </text>
    </comment>
    <comment authorId="0" ref="H255">
      <text>
        <t xml:space="preserve">Revisar pago si faltan datos o la cuota/crédito no existe. Pagos futuros válidos quedan registrados pero excluidos al corte.</t>
      </text>
    </comment>
    <comment authorId="0" ref="E123">
      <text>
        <t xml:space="preserve">Fecha real. Solo pagos hasta Supuestos!D6 se incluyen en el corte.</t>
      </text>
    </comment>
    <comment authorId="0" ref="F12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3">
      <text>
        <t xml:space="preserve">Referencia de comprobante y explicación de la imputación.</t>
      </text>
    </comment>
    <comment authorId="0" ref="H123">
      <text>
        <t xml:space="preserve">Revisar pago si faltan datos o la cuota/crédito no existe. Pagos futuros válidos quedan registrados pero excluidos al corte.</t>
      </text>
    </comment>
    <comment authorId="0" ref="C256">
      <text>
        <t xml:space="preserve">ID existente y único en Creditos.</t>
      </text>
    </comment>
    <comment authorId="0" ref="D256">
      <text>
        <t xml:space="preserve">Cuota específica a la que imputas el pago. Si una transferencia paga varias cuotas, distribúyela en filas separadas por cuota.</t>
      </text>
    </comment>
    <comment authorId="0" ref="E256">
      <text>
        <t xml:space="preserve">Fecha real. Solo pagos hasta Supuestos!D6 se incluyen en el corte.</t>
      </text>
    </comment>
    <comment authorId="0" ref="F25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4">
      <text>
        <t xml:space="preserve">ID existente y único en Creditos.</t>
      </text>
    </comment>
    <comment authorId="0" ref="G256">
      <text>
        <t xml:space="preserve">Referencia de comprobante y explicación de la imputación.</t>
      </text>
    </comment>
    <comment authorId="0" ref="D124">
      <text>
        <t xml:space="preserve">Cuota específica a la que imputas el pago. Si una transferencia paga varias cuotas, distribúyela en filas separadas por cuota.</t>
      </text>
    </comment>
    <comment authorId="0" ref="H256">
      <text>
        <t xml:space="preserve">Revisar pago si faltan datos o la cuota/crédito no existe. Pagos futuros válidos quedan registrados pero excluidos al corte.</t>
      </text>
    </comment>
    <comment authorId="0" ref="E124">
      <text>
        <t xml:space="preserve">Fecha real. Solo pagos hasta Supuestos!D6 se incluyen en el corte.</t>
      </text>
    </comment>
    <comment authorId="0" ref="F12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4">
      <text>
        <t xml:space="preserve">Referencia de comprobante y explicación de la imputación.</t>
      </text>
    </comment>
    <comment authorId="0" ref="H124">
      <text>
        <t xml:space="preserve">Revisar pago si faltan datos o la cuota/crédito no existe. Pagos futuros válidos quedan registrados pero excluidos al corte.</t>
      </text>
    </comment>
    <comment authorId="0" ref="C257">
      <text>
        <t xml:space="preserve">ID existente y único en Creditos.</t>
      </text>
    </comment>
    <comment authorId="0" ref="D257">
      <text>
        <t xml:space="preserve">Cuota específica a la que imputas el pago. Si una transferencia paga varias cuotas, distribúyela en filas separadas por cuota.</t>
      </text>
    </comment>
    <comment authorId="0" ref="E257">
      <text>
        <t xml:space="preserve">Fecha real. Solo pagos hasta Supuestos!D6 se incluyen en el corte.</t>
      </text>
    </comment>
    <comment authorId="0" ref="F25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5">
      <text>
        <t xml:space="preserve">ID existente y único en Creditos.</t>
      </text>
    </comment>
    <comment authorId="0" ref="G257">
      <text>
        <t xml:space="preserve">Referencia de comprobante y explicación de la imputación.</t>
      </text>
    </comment>
    <comment authorId="0" ref="D125">
      <text>
        <t xml:space="preserve">Cuota específica a la que imputas el pago. Si una transferencia paga varias cuotas, distribúyela en filas separadas por cuota.</t>
      </text>
    </comment>
    <comment authorId="0" ref="H257">
      <text>
        <t xml:space="preserve">Revisar pago si faltan datos o la cuota/crédito no existe. Pagos futuros válidos quedan registrados pero excluidos al corte.</t>
      </text>
    </comment>
    <comment authorId="0" ref="E125">
      <text>
        <t xml:space="preserve">Fecha real. Solo pagos hasta Supuestos!D6 se incluyen en el corte.</t>
      </text>
    </comment>
    <comment authorId="0" ref="F12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5">
      <text>
        <t xml:space="preserve">Referencia de comprobante y explicación de la imputación.</t>
      </text>
    </comment>
    <comment authorId="0" ref="H125">
      <text>
        <t xml:space="preserve">Revisar pago si faltan datos o la cuota/crédito no existe. Pagos futuros válidos quedan registrados pero excluidos al corte.</t>
      </text>
    </comment>
    <comment authorId="0" ref="C258">
      <text>
        <t xml:space="preserve">ID existente y único en Creditos.</t>
      </text>
    </comment>
    <comment authorId="0" ref="D258">
      <text>
        <t xml:space="preserve">Cuota específica a la que imputas el pago. Si una transferencia paga varias cuotas, distribúyela en filas separadas por cuota.</t>
      </text>
    </comment>
    <comment authorId="0" ref="E258">
      <text>
        <t xml:space="preserve">Fecha real. Solo pagos hasta Supuestos!D6 se incluyen en el corte.</t>
      </text>
    </comment>
    <comment authorId="0" ref="F25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6">
      <text>
        <t xml:space="preserve">ID existente y único en Creditos.</t>
      </text>
    </comment>
    <comment authorId="0" ref="G258">
      <text>
        <t xml:space="preserve">Referencia de comprobante y explicación de la imputación.</t>
      </text>
    </comment>
    <comment authorId="0" ref="D126">
      <text>
        <t xml:space="preserve">Cuota específica a la que imputas el pago. Si una transferencia paga varias cuotas, distribúyela en filas separadas por cuota.</t>
      </text>
    </comment>
    <comment authorId="0" ref="H258">
      <text>
        <t xml:space="preserve">Revisar pago si faltan datos o la cuota/crédito no existe. Pagos futuros válidos quedan registrados pero excluidos al corte.</t>
      </text>
    </comment>
    <comment authorId="0" ref="E126">
      <text>
        <t xml:space="preserve">Fecha real. Solo pagos hasta Supuestos!D6 se incluyen en el corte.</t>
      </text>
    </comment>
    <comment authorId="0" ref="F126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6">
      <text>
        <t xml:space="preserve">Referencia de comprobante y explicación de la imputación.</t>
      </text>
    </comment>
    <comment authorId="0" ref="H126">
      <text>
        <t xml:space="preserve">Revisar pago si faltan datos o la cuota/crédito no existe. Pagos futuros válidos quedan registrados pero excluidos al corte.</t>
      </text>
    </comment>
    <comment authorId="0" ref="C259">
      <text>
        <t xml:space="preserve">ID existente y único en Creditos.</t>
      </text>
    </comment>
    <comment authorId="0" ref="D259">
      <text>
        <t xml:space="preserve">Cuota específica a la que imputas el pago. Si una transferencia paga varias cuotas, distribúyela en filas separadas por cuota.</t>
      </text>
    </comment>
    <comment authorId="0" ref="E259">
      <text>
        <t xml:space="preserve">Fecha real. Solo pagos hasta Supuestos!D6 se incluyen en el corte.</t>
      </text>
    </comment>
    <comment authorId="0" ref="F25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7">
      <text>
        <t xml:space="preserve">ID existente y único en Creditos.</t>
      </text>
    </comment>
    <comment authorId="0" ref="G259">
      <text>
        <t xml:space="preserve">Referencia de comprobante y explicación de la imputación.</t>
      </text>
    </comment>
    <comment authorId="0" ref="D127">
      <text>
        <t xml:space="preserve">Cuota específica a la que imputas el pago. Si una transferencia paga varias cuotas, distribúyela en filas separadas por cuota.</t>
      </text>
    </comment>
    <comment authorId="0" ref="H259">
      <text>
        <t xml:space="preserve">Revisar pago si faltan datos o la cuota/crédito no existe. Pagos futuros válidos quedan registrados pero excluidos al corte.</t>
      </text>
    </comment>
    <comment authorId="0" ref="E127">
      <text>
        <t xml:space="preserve">Fecha real. Solo pagos hasta Supuestos!D6 se incluyen en el corte.</t>
      </text>
    </comment>
    <comment authorId="0" ref="F127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7">
      <text>
        <t xml:space="preserve">Referencia de comprobante y explicación de la imputación.</t>
      </text>
    </comment>
    <comment authorId="0" ref="H127">
      <text>
        <t xml:space="preserve">Revisar pago si faltan datos o la cuota/crédito no existe. Pagos futuros válidos quedan registrados pero excluidos al corte.</t>
      </text>
    </comment>
    <comment authorId="0" ref="C260">
      <text>
        <t xml:space="preserve">ID existente y único en Creditos.</t>
      </text>
    </comment>
    <comment authorId="0" ref="D260">
      <text>
        <t xml:space="preserve">Cuota específica a la que imputas el pago. Si una transferencia paga varias cuotas, distribúyela en filas separadas por cuota.</t>
      </text>
    </comment>
    <comment authorId="0" ref="E260">
      <text>
        <t xml:space="preserve">Fecha real. Solo pagos hasta Supuestos!D6 se incluyen en el corte.</t>
      </text>
    </comment>
    <comment authorId="0" ref="F26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8">
      <text>
        <t xml:space="preserve">ID existente y único en Creditos.</t>
      </text>
    </comment>
    <comment authorId="0" ref="G260">
      <text>
        <t xml:space="preserve">Referencia de comprobante y explicación de la imputación.</t>
      </text>
    </comment>
    <comment authorId="0" ref="D128">
      <text>
        <t xml:space="preserve">Cuota específica a la que imputas el pago. Si una transferencia paga varias cuotas, distribúyela en filas separadas por cuota.</t>
      </text>
    </comment>
    <comment authorId="0" ref="H260">
      <text>
        <t xml:space="preserve">Revisar pago si faltan datos o la cuota/crédito no existe. Pagos futuros válidos quedan registrados pero excluidos al corte.</t>
      </text>
    </comment>
    <comment authorId="0" ref="E128">
      <text>
        <t xml:space="preserve">Fecha real. Solo pagos hasta Supuestos!D6 se incluyen en el corte.</t>
      </text>
    </comment>
    <comment authorId="0" ref="F128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8">
      <text>
        <t xml:space="preserve">Referencia de comprobante y explicación de la imputación.</t>
      </text>
    </comment>
    <comment authorId="0" ref="H128">
      <text>
        <t xml:space="preserve">Revisar pago si faltan datos o la cuota/crédito no existe. Pagos futuros válidos quedan registrados pero excluidos al corte.</t>
      </text>
    </comment>
    <comment authorId="0" ref="C261">
      <text>
        <t xml:space="preserve">ID existente y único en Creditos.</t>
      </text>
    </comment>
    <comment authorId="0" ref="D261">
      <text>
        <t xml:space="preserve">Cuota específica a la que imputas el pago. Si una transferencia paga varias cuotas, distribúyela en filas separadas por cuota.</t>
      </text>
    </comment>
    <comment authorId="0" ref="E261">
      <text>
        <t xml:space="preserve">Fecha real. Solo pagos hasta Supuestos!D6 se incluyen en el corte.</t>
      </text>
    </comment>
    <comment authorId="0" ref="F26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29">
      <text>
        <t xml:space="preserve">ID existente y único en Creditos.</t>
      </text>
    </comment>
    <comment authorId="0" ref="G261">
      <text>
        <t xml:space="preserve">Referencia de comprobante y explicación de la imputación.</t>
      </text>
    </comment>
    <comment authorId="0" ref="D129">
      <text>
        <t xml:space="preserve">Cuota específica a la que imputas el pago. Si una transferencia paga varias cuotas, distribúyela en filas separadas por cuota.</t>
      </text>
    </comment>
    <comment authorId="0" ref="H261">
      <text>
        <t xml:space="preserve">Revisar pago si faltan datos o la cuota/crédito no existe. Pagos futuros válidos quedan registrados pero excluidos al corte.</t>
      </text>
    </comment>
    <comment authorId="0" ref="E129">
      <text>
        <t xml:space="preserve">Fecha real. Solo pagos hasta Supuestos!D6 se incluyen en el corte.</t>
      </text>
    </comment>
    <comment authorId="0" ref="F129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29">
      <text>
        <t xml:space="preserve">Referencia de comprobante y explicación de la imputación.</t>
      </text>
    </comment>
    <comment authorId="0" ref="H129">
      <text>
        <t xml:space="preserve">Revisar pago si faltan datos o la cuota/crédito no existe. Pagos futuros válidos quedan registrados pero excluidos al corte.</t>
      </text>
    </comment>
    <comment authorId="0" ref="C262">
      <text>
        <t xml:space="preserve">ID existente y único en Creditos.</t>
      </text>
    </comment>
    <comment authorId="0" ref="D262">
      <text>
        <t xml:space="preserve">Cuota específica a la que imputas el pago. Si una transferencia paga varias cuotas, distribúyela en filas separadas por cuota.</t>
      </text>
    </comment>
    <comment authorId="0" ref="E262">
      <text>
        <t xml:space="preserve">Fecha real. Solo pagos hasta Supuestos!D6 se incluyen en el corte.</t>
      </text>
    </comment>
    <comment authorId="0" ref="F26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0">
      <text>
        <t xml:space="preserve">ID existente y único en Creditos.</t>
      </text>
    </comment>
    <comment authorId="0" ref="G262">
      <text>
        <t xml:space="preserve">Referencia de comprobante y explicación de la imputación.</t>
      </text>
    </comment>
    <comment authorId="0" ref="D130">
      <text>
        <t xml:space="preserve">Cuota específica a la que imputas el pago. Si una transferencia paga varias cuotas, distribúyela en filas separadas por cuota.</t>
      </text>
    </comment>
    <comment authorId="0" ref="H262">
      <text>
        <t xml:space="preserve">Revisar pago si faltan datos o la cuota/crédito no existe. Pagos futuros válidos quedan registrados pero excluidos al corte.</t>
      </text>
    </comment>
    <comment authorId="0" ref="E130">
      <text>
        <t xml:space="preserve">Fecha real. Solo pagos hasta Supuestos!D6 se incluyen en el corte.</t>
      </text>
    </comment>
    <comment authorId="0" ref="F130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0">
      <text>
        <t xml:space="preserve">Referencia de comprobante y explicación de la imputación.</t>
      </text>
    </comment>
    <comment authorId="0" ref="H130">
      <text>
        <t xml:space="preserve">Revisar pago si faltan datos o la cuota/crédito no existe. Pagos futuros válidos quedan registrados pero excluidos al corte.</t>
      </text>
    </comment>
    <comment authorId="0" ref="C263">
      <text>
        <t xml:space="preserve">ID existente y único en Creditos.</t>
      </text>
    </comment>
    <comment authorId="0" ref="D263">
      <text>
        <t xml:space="preserve">Cuota específica a la que imputas el pago. Si una transferencia paga varias cuotas, distribúyela en filas separadas por cuota.</t>
      </text>
    </comment>
    <comment authorId="0" ref="E263">
      <text>
        <t xml:space="preserve">Fecha real. Solo pagos hasta Supuestos!D6 se incluyen en el corte.</t>
      </text>
    </comment>
    <comment authorId="0" ref="F263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1">
      <text>
        <t xml:space="preserve">ID existente y único en Creditos.</t>
      </text>
    </comment>
    <comment authorId="0" ref="G263">
      <text>
        <t xml:space="preserve">Referencia de comprobante y explicación de la imputación.</t>
      </text>
    </comment>
    <comment authorId="0" ref="D131">
      <text>
        <t xml:space="preserve">Cuota específica a la que imputas el pago. Si una transferencia paga varias cuotas, distribúyela en filas separadas por cuota.</t>
      </text>
    </comment>
    <comment authorId="0" ref="H263">
      <text>
        <t xml:space="preserve">Revisar pago si faltan datos o la cuota/crédito no existe. Pagos futuros válidos quedan registrados pero excluidos al corte.</t>
      </text>
    </comment>
    <comment authorId="0" ref="E131">
      <text>
        <t xml:space="preserve">Fecha real. Solo pagos hasta Supuestos!D6 se incluyen en el corte.</t>
      </text>
    </comment>
    <comment authorId="0" ref="F131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1">
      <text>
        <t xml:space="preserve">Referencia de comprobante y explicación de la imputación.</t>
      </text>
    </comment>
    <comment authorId="0" ref="H131">
      <text>
        <t xml:space="preserve">Revisar pago si faltan datos o la cuota/crédito no existe. Pagos futuros válidos quedan registrados pero excluidos al corte.</t>
      </text>
    </comment>
    <comment authorId="0" ref="C264">
      <text>
        <t xml:space="preserve">ID existente y único en Creditos.</t>
      </text>
    </comment>
    <comment authorId="0" ref="D264">
      <text>
        <t xml:space="preserve">Cuota específica a la que imputas el pago. Si una transferencia paga varias cuotas, distribúyela en filas separadas por cuota.</t>
      </text>
    </comment>
    <comment authorId="0" ref="E264">
      <text>
        <t xml:space="preserve">Fecha real. Solo pagos hasta Supuestos!D6 se incluyen en el corte.</t>
      </text>
    </comment>
    <comment authorId="0" ref="F264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2">
      <text>
        <t xml:space="preserve">ID existente y único en Creditos.</t>
      </text>
    </comment>
    <comment authorId="0" ref="G264">
      <text>
        <t xml:space="preserve">Referencia de comprobante y explicación de la imputación.</t>
      </text>
    </comment>
    <comment authorId="0" ref="D132">
      <text>
        <t xml:space="preserve">Cuota específica a la que imputas el pago. Si una transferencia paga varias cuotas, distribúyela en filas separadas por cuota.</t>
      </text>
    </comment>
    <comment authorId="0" ref="H264">
      <text>
        <t xml:space="preserve">Revisar pago si faltan datos o la cuota/crédito no existe. Pagos futuros válidos quedan registrados pero excluidos al corte.</t>
      </text>
    </comment>
    <comment authorId="0" ref="E132">
      <text>
        <t xml:space="preserve">Fecha real. Solo pagos hasta Supuestos!D6 se incluyen en el corte.</t>
      </text>
    </comment>
    <comment authorId="0" ref="F132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G132">
      <text>
        <t xml:space="preserve">Referencia de comprobante y explicación de la imputación.</t>
      </text>
    </comment>
    <comment authorId="0" ref="H132">
      <text>
        <t xml:space="preserve">Revisar pago si faltan datos o la cuota/crédito no existe. Pagos futuros válidos quedan registrados pero excluidos al corte.</t>
      </text>
    </comment>
    <comment authorId="0" ref="C265">
      <text>
        <t xml:space="preserve">ID existente y único en Creditos.</t>
      </text>
    </comment>
    <comment authorId="0" ref="D265">
      <text>
        <t xml:space="preserve">Cuota específica a la que imputas el pago. Si una transferencia paga varias cuotas, distribúyela en filas separadas por cuota.</t>
      </text>
    </comment>
    <comment authorId="0" ref="E265">
      <text>
        <t xml:space="preserve">Fecha real. Solo pagos hasta Supuestos!D6 se incluyen en el corte.</t>
      </text>
    </comment>
    <comment authorId="0" ref="F265">
      <text>
        <t xml:space="preserve">Importe positivo efectivamente pagado a esa cuota. Se aplica primero a cargos, luego a interés y después a capital de ESA cuota. No reasigna excedentes a otras cuotas.</t>
      </text>
    </comment>
    <comment authorId="0" ref="C133">
      <text>
        <t xml:space="preserve">ID existente y único en Creditos.</t>
      </text>
    </comment>
    <comment authorId="0" ref="G265">
      <text>
        <t xml:space="preserve">Referencia de comprobante y explicación de la imputación.</t>
      </text>
    </comment>
    <comment authorId="0" ref="D133">
      <text>
        <t xml:space="preserve">Cuota específica a la que imputas el pago. Si una transferencia paga varias cuotas, distribúyela en filas separadas por cuota.</t>
      </text>
    </comment>
    <comment authorId="0" ref="H265">
      <text>
        <t xml:space="preserve">Revisar pago si faltan datos o la cuota/crédito no existe. Pagos futuros válidos quedan registrados pero excluidos al corte.</t>
      </text>
    </comment>
  </commentList>
</comments>
</file>

<file path=xl/sharedStrings.xml><?xml version="1.0" encoding="utf-8"?>
<sst xmlns="http://schemas.openxmlformats.org/spreadsheetml/2006/main" count="131" uniqueCount="114">
  <si>
    <t>Supuestos</t>
  </si>
  <si>
    <t>CONTABILIDAD SAN VICENTE</t>
  </si>
  <si>
    <t>Resumen</t>
  </si>
  <si>
    <t>DATOS GENERALES</t>
  </si>
  <si>
    <t>Creditos</t>
  </si>
  <si>
    <t>CARTERA AL CORTE</t>
  </si>
  <si>
    <t>Fecha de corte</t>
  </si>
  <si>
    <t>ID crédito</t>
  </si>
  <si>
    <t>Entidad / nombre</t>
  </si>
  <si>
    <t>Capital original</t>
  </si>
  <si>
    <t>Tasa informada</t>
  </si>
  <si>
    <t>Base de la tasa</t>
  </si>
  <si>
    <t>Cuotas mensuales</t>
  </si>
  <si>
    <t>Primer vencimiento</t>
  </si>
  <si>
    <t>Moneda y escala</t>
  </si>
  <si>
    <t>Control de créditos</t>
  </si>
  <si>
    <t>Seguro mensual</t>
  </si>
  <si>
    <t>Otro cargo mensual</t>
  </si>
  <si>
    <t>CLP</t>
  </si>
  <si>
    <t>Costo inicial</t>
  </si>
  <si>
    <t>Estado datos</t>
  </si>
  <si>
    <t>Tasa mensual</t>
  </si>
  <si>
    <t>Cuota base</t>
  </si>
  <si>
    <t>Cuota con cargos</t>
  </si>
  <si>
    <t>Capital neto recibido</t>
  </si>
  <si>
    <t>CR001</t>
  </si>
  <si>
    <t>Crédito equipos</t>
  </si>
  <si>
    <t>El capital pendiente descuenta solo la porción efectivamente imputada a capital. El calendario pactado no se recalcula por atrasos ni abonos extraordinarios. No calcula mora, CAE, UF o tasas variables; compara siempre con el contrato y la liquidación del acreedor.</t>
  </si>
  <si>
    <t>Hasta 10 créditos de cuota fija mensual, con un máximo de 60 cuotas cada uno. Pagos al final de cada período. Se registra el crédito por su capital bruto. Seguros y cargos mensuales se agregan a la cuota. El costo inicial se supone pagado aparte al comienzo; no se financia.</t>
  </si>
  <si>
    <t>Nominal anual</t>
  </si>
  <si>
    <t>Calendario pactado y pagos efectivos.
Capital pendiente, cuotas exigibles y atrasos por crédito.</t>
  </si>
  <si>
    <t>Capital pendiente según pagos</t>
  </si>
  <si>
    <t>Cuotas exigibles pendientes</t>
  </si>
  <si>
    <t>Metodología y ejemplo resuelto   ·   Octubre de 2026</t>
  </si>
  <si>
    <t>Pagos registrados al corte</t>
  </si>
  <si>
    <t>Excesos sin imputar</t>
  </si>
  <si>
    <t>Registros por corregir</t>
  </si>
  <si>
    <t>Contabilidad San Vicente
Celdas amarillas: editables. Consulta las notas de los campos relevantes.</t>
  </si>
  <si>
    <t>CR002</t>
  </si>
  <si>
    <t>Crédito sin interés</t>
  </si>
  <si>
    <t>Mensual</t>
  </si>
  <si>
    <t>Costo financiero contractual</t>
  </si>
  <si>
    <t>ID</t>
  </si>
  <si>
    <t>Crédito</t>
  </si>
  <si>
    <t>Capital pendiente</t>
  </si>
  <si>
    <t>Cuota mensual con cargos</t>
  </si>
  <si>
    <t>Exigible pendiente</t>
  </si>
  <si>
    <t>Máximo atraso (días)</t>
  </si>
  <si>
    <t>Primera cuota pendiente</t>
  </si>
  <si>
    <t>Importe de esa cuota</t>
  </si>
  <si>
    <t>Pagado al corte</t>
  </si>
  <si>
    <t>Exceso sin imputar</t>
  </si>
  <si>
    <t>Estado</t>
  </si>
  <si>
    <t>Calendario</t>
  </si>
  <si>
    <t>Pagos</t>
  </si>
  <si>
    <t>N.º cuota</t>
  </si>
  <si>
    <t>Vencimiento</t>
  </si>
  <si>
    <t>Capital inicial</t>
  </si>
  <si>
    <t>Fecha de pago</t>
  </si>
  <si>
    <t>Interés</t>
  </si>
  <si>
    <t>Importe pagado</t>
  </si>
  <si>
    <t>Amortización</t>
  </si>
  <si>
    <t>Referencia / observación</t>
  </si>
  <si>
    <t>Cargos del mes</t>
  </si>
  <si>
    <t>Total pactado</t>
  </si>
  <si>
    <t>Capital final teórico</t>
  </si>
  <si>
    <t>Capital pagado</t>
  </si>
  <si>
    <t>Cuota pendiente</t>
  </si>
  <si>
    <t>Días de atraso</t>
  </si>
  <si>
    <t>Estado al corte</t>
  </si>
  <si>
    <t>Fecha pendiente auxiliar</t>
  </si>
  <si>
    <t>Abono parcial de ejemplo</t>
  </si>
  <si>
    <t>Metodologia</t>
  </si>
  <si>
    <t>MÉTODO Y USO</t>
  </si>
  <si>
    <t>1. Datos del contrato</t>
  </si>
  <si>
    <t>Registra cada crédito con ID único, capital, base de tasa, plazo y primer vencimiento. Ejemplo CR001: 1.200.000, 12% nominal anual, 12 cuotas, primer vencimiento 01-11-2026.</t>
  </si>
  <si>
    <t>2. Tasa por mes</t>
  </si>
  <si>
    <t>Nominal anual / 12; efectiva anual se convierte con raíz duodécima; mensual se usa directamente. CR001 tiene tasa mensual 1%. La base debe venir del contrato.</t>
  </si>
  <si>
    <t>3. Cuota fija vencida</t>
  </si>
  <si>
    <t>PMT calcula capital e interés con tasa y pagos constantes. Se redondea a dos decimales. Interés = capital inicial del mes × tasa. Amortización = cuota base − interés. Última cuota ajusta los centavos.</t>
  </si>
  <si>
    <t>4. Cargos y costo inicial</t>
  </si>
  <si>
    <t>Seguros y cargos mensuales se agregan a la cuota base, sin amortizar capital. El costo inicial se paga aparte y reduce el desembolso neto recibido. No se calcula una CAE.</t>
  </si>
  <si>
    <t>5. Registra pagos reales</t>
  </si>
  <si>
    <t>Pagos admite hasta 300 registros. Imputa cada pago a su número de cuota. Si una transferencia cubre varias, sepárala por cuota. Solo pagos hasta la fecha de corte se consideran realizados.</t>
  </si>
  <si>
    <t>6. Imputación del pago</t>
  </si>
  <si>
    <t>Cada cuota aplica el pago a cargos, interés y luego capital. El exceso sobre la cuota queda sin imputar: no reduce otra cuota ni recalcula el contrato. Revisa cómo imputa tu acreedor antes de usar este criterio.</t>
  </si>
  <si>
    <t>7. Ejemplo de atraso</t>
  </si>
  <si>
    <t>CR002: 600.000, sin interés, 6 cuotas de 100.000. Cuota 1 vence 01-10-2026; se pagan 40.000 el 02-10. Al 18-10 quedan 60.000 exigibles, 17 días de atraso y 560.000 de capital pendiente.</t>
  </si>
  <si>
    <t>8. Alcance</t>
  </si>
  <si>
    <t>Cuotas mensuales fijas, vencidas, hasta 60 por crédito. Sin carencia, cuota extraordinaria, tasa variable, reajuste, mora ni cálculo de CAE. Un prepago requiere una nueva liquidación contractual; no ingresarlo como pago común sin revisar la imputación.</t>
  </si>
  <si>
    <t>REFERENCIAS DE LA METODOLOGÍA</t>
  </si>
  <si>
    <t>PMT / PAGO</t>
  </si>
  <si>
    <t>https://support.microsoft.com/en-us/excel/functions/pmt-function</t>
  </si>
  <si>
    <t>CONTROLES DEL MODELO</t>
  </si>
  <si>
    <t>Control</t>
  </si>
  <si>
    <t>Diferencia / conteo</t>
  </si>
  <si>
    <t>Criterio</t>
  </si>
  <si>
    <t>Créditos inválidos</t>
  </si>
  <si>
    <t>Corregir entradas antes de interpretar cartera.</t>
  </si>
  <si>
    <t>Pagos inválidos</t>
  </si>
  <si>
    <t>ID y cuota existentes, fecha e importe válidos.</t>
  </si>
  <si>
    <t>Amortización total</t>
  </si>
  <si>
    <t>Capital amortizado por calendario igual al original.</t>
  </si>
  <si>
    <t>Puente de capital pagado</t>
  </si>
  <si>
    <t>Capital original menos pagado igual a pendiente.</t>
  </si>
  <si>
    <t>Puente de cuota</t>
  </si>
  <si>
    <t>Cuota total = interés + amortización + cargos.</t>
  </si>
  <si>
    <t>Excedentes sin imputar</t>
  </si>
  <si>
    <t>En el ejemplo no hay sobrepagos. Resolver cualquier exceso.</t>
  </si>
  <si>
    <t>COSTO TOTAL DEL CALENDARIO PACTADO</t>
  </si>
  <si>
    <t>Interés total</t>
  </si>
  <si>
    <t>Cargos mensuales totales</t>
  </si>
  <si>
    <t>Costo financiero total</t>
  </si>
  <si>
    <t>Total desembolsos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</si>
</sst>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-mm-yyyy"/>
    <numFmt numFmtId="165" formatCode="0.0%"/>
    <numFmt numFmtId="166" formatCode="#,##0.00;(#,##0.00);&quot;–&quot;"/>
    <numFmt numFmtId="167" formatCode="0.000%"/>
  </numFmts>
  <fonts count="15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sz val="11.0"/>
      <color rgb="FF2157B0"/>
      <name val="Arial"/>
    </font>
    <font>
      <b/>
      <sz val="27.0"/>
      <color rgb="FFFFFFFF"/>
      <name val="Arial"/>
    </font>
    <font>
      <sz val="11.0"/>
      <color rgb="FF142D4E"/>
      <name val="Arial"/>
    </font>
    <font/>
    <font>
      <sz val="17.0"/>
      <color rgb="FFA9DCD3"/>
      <name val="Arial"/>
    </font>
    <font>
      <sz val="11.0"/>
      <color rgb="FFB9C8DC"/>
      <name val="Arial"/>
    </font>
    <font>
      <sz val="10.0"/>
      <color rgb="FF23734D"/>
      <name val="Arial"/>
    </font>
    <font>
      <sz val="11.0"/>
      <color rgb="FF23734D"/>
      <name val="Arial"/>
    </font>
    <font>
      <b/>
      <color rgb="FFFFFFFF"/>
      <name val="Carlito"/>
      <scheme val="minor"/>
    </font>
    <font>
      <sz val="11.0"/>
      <color rgb="FF2157B0"/>
      <name val="Carlito"/>
    </font>
    <font>
      <sz val="11.0"/>
      <color rgb="FF23734D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  <fill>
      <patternFill patternType="solid">
        <fgColor rgb="FF132C4E"/>
        <bgColor rgb="FF132C4E"/>
      </patternFill>
    </fill>
  </fills>
  <borders count="11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3" numFmtId="0" xfId="0" applyAlignment="1" applyBorder="1" applyFill="1" applyFont="1">
      <alignment vertical="center"/>
    </xf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horizontal="center" shrinkToFit="0" vertical="center" wrapText="1"/>
    </xf>
    <xf borderId="2" fillId="3" fontId="4" numFmtId="164" xfId="0" applyAlignment="1" applyBorder="1" applyFill="1" applyFont="1" applyNumberFormat="1">
      <alignment readingOrder="0" vertical="center"/>
    </xf>
    <xf borderId="2" fillId="3" fontId="4" numFmtId="0" xfId="0" applyAlignment="1" applyBorder="1" applyFill="1" applyFont="1">
      <alignment vertical="center"/>
    </xf>
    <xf borderId="3" fillId="2" fontId="5" numFmtId="0" xfId="0" applyAlignment="1" applyBorder="1" applyFill="1" applyFont="1">
      <alignment shrinkToFit="0" vertical="center" wrapText="1"/>
    </xf>
    <xf borderId="0" fillId="0" fontId="6" numFmtId="164" xfId="0" applyAlignment="1" applyFont="1" applyNumberFormat="1">
      <alignment vertical="center"/>
    </xf>
    <xf borderId="4" fillId="0" fontId="7" numFmtId="0" xfId="0" applyBorder="1" applyFont="1"/>
    <xf borderId="5" fillId="0" fontId="7" numFmtId="0" xfId="0" applyBorder="1" applyFont="1"/>
    <xf borderId="0" fillId="0" fontId="1" numFmtId="0" xfId="0" applyAlignment="1" applyFont="1">
      <alignment shrinkToFit="0" vertical="center" wrapText="1"/>
    </xf>
    <xf borderId="6" fillId="0" fontId="7" numFmtId="0" xfId="0" applyBorder="1" applyFont="1"/>
    <xf borderId="7" fillId="0" fontId="7" numFmtId="0" xfId="0" applyBorder="1" applyFont="1"/>
    <xf borderId="2" fillId="3" fontId="4" numFmtId="4" xfId="0" applyAlignment="1" applyBorder="1" applyFill="1" applyFont="1" applyNumberFormat="1">
      <alignment vertical="center"/>
    </xf>
    <xf borderId="2" fillId="3" fontId="4" numFmtId="165" xfId="0" applyAlignment="1" applyBorder="1" applyFill="1" applyFont="1" applyNumberFormat="1">
      <alignment vertical="center"/>
    </xf>
    <xf borderId="2" fillId="3" fontId="4" numFmtId="0" xfId="0" applyAlignment="1" applyBorder="1" applyFill="1" applyFont="1">
      <alignment readingOrder="0" vertical="center"/>
    </xf>
    <xf borderId="8" fillId="0" fontId="7" numFmtId="0" xfId="0" applyBorder="1" applyFont="1"/>
    <xf borderId="9" fillId="0" fontId="7" numFmtId="0" xfId="0" applyBorder="1" applyFont="1"/>
    <xf borderId="2" fillId="3" fontId="4" numFmtId="164" xfId="0" applyAlignment="1" applyBorder="1" applyFill="1" applyFont="1" applyNumberFormat="1">
      <alignment vertical="center"/>
    </xf>
    <xf borderId="10" fillId="0" fontId="7" numFmtId="0" xfId="0" applyBorder="1" applyFont="1"/>
    <xf borderId="0" fillId="0" fontId="6" numFmtId="166" xfId="0" applyAlignment="1" applyFont="1" applyNumberFormat="1">
      <alignment vertical="center"/>
    </xf>
    <xf borderId="3" fillId="2" fontId="8" numFmtId="0" xfId="0" applyAlignment="1" applyBorder="1" applyFill="1" applyFont="1">
      <alignment shrinkToFit="0" vertical="center" wrapText="1"/>
    </xf>
    <xf borderId="3" fillId="2" fontId="9" numFmtId="0" xfId="0" applyAlignment="1" applyBorder="1" applyFill="1" applyFont="1">
      <alignment shrinkToFit="0" vertical="center" wrapText="1"/>
    </xf>
    <xf borderId="0" fillId="0" fontId="1" numFmtId="167" xfId="0" applyAlignment="1" applyFont="1" applyNumberFormat="1">
      <alignment vertical="center"/>
    </xf>
    <xf borderId="0" fillId="0" fontId="1" numFmtId="166" xfId="0" applyAlignment="1" applyFont="1" applyNumberFormat="1">
      <alignment vertical="center"/>
    </xf>
    <xf borderId="0" fillId="0" fontId="6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1" numFmtId="4" xfId="0" applyAlignment="1" applyFont="1" applyNumberFormat="1">
      <alignment vertical="center"/>
    </xf>
    <xf borderId="0" fillId="0" fontId="6" numFmtId="1" xfId="0" applyAlignment="1" applyFont="1" applyNumberFormat="1">
      <alignment vertical="center"/>
    </xf>
    <xf borderId="2" fillId="3" fontId="4" numFmtId="166" xfId="0" applyAlignment="1" applyBorder="1" applyFill="1" applyFont="1" applyNumberFormat="1">
      <alignment vertical="center"/>
    </xf>
    <xf borderId="0" fillId="0" fontId="10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10" numFmtId="164" xfId="0" applyAlignment="1" applyFont="1" applyNumberFormat="1">
      <alignment vertical="center"/>
    </xf>
    <xf borderId="0" fillId="0" fontId="10" numFmtId="166" xfId="0" applyAlignment="1" applyFont="1" applyNumberFormat="1">
      <alignment vertical="center"/>
    </xf>
    <xf borderId="0" fillId="0" fontId="10" numFmtId="167" xfId="0" applyAlignment="1" applyFont="1" applyNumberFormat="1">
      <alignment vertical="center"/>
    </xf>
    <xf borderId="0" fillId="0" fontId="11" numFmtId="2" xfId="0" applyAlignment="1" applyFont="1" applyNumberFormat="1">
      <alignment shrinkToFit="0" vertical="center" wrapText="1"/>
    </xf>
    <xf borderId="0" fillId="0" fontId="10" numFmtId="1" xfId="0" applyAlignment="1" applyFont="1" applyNumberFormat="1">
      <alignment vertical="center"/>
    </xf>
    <xf borderId="0" fillId="4" fontId="12" numFmtId="0" xfId="0" applyAlignment="1" applyFill="1" applyFont="1">
      <alignment readingOrder="0" vertical="center"/>
    </xf>
    <xf borderId="0" fillId="4" fontId="12" numFmtId="0" xfId="0" applyAlignment="1" applyFill="1" applyFont="1">
      <alignment vertical="center"/>
    </xf>
    <xf borderId="2" fillId="3" fontId="13" numFmtId="0" xfId="0" applyBorder="1" applyFill="1" applyFont="1"/>
    <xf borderId="2" fillId="3" fontId="13" numFmtId="164" xfId="0" applyBorder="1" applyFill="1" applyFont="1" applyNumberFormat="1"/>
    <xf borderId="2" fillId="3" fontId="13" numFmtId="166" xfId="0" applyBorder="1" applyFill="1" applyFont="1" applyNumberFormat="1"/>
    <xf borderId="0" fillId="0" fontId="14" numFmtId="0" xfId="0" applyFont="1"/>
    <xf borderId="0" fillId="0" fontId="10" numFmtId="0" xfId="0" applyFont="1"/>
    <xf borderId="0" fillId="0" fontId="10" numFmtId="164" xfId="0" applyFont="1" applyNumberFormat="1"/>
    <xf borderId="0" fillId="0" fontId="10" numFmtId="166" xfId="0" applyFont="1" applyNumberFormat="1"/>
    <xf borderId="0" fillId="0" fontId="10" numFmtId="167" xfId="0" applyFont="1" applyNumberFormat="1"/>
    <xf borderId="0" fillId="0" fontId="10" numFmtId="1" xfId="0" applyFont="1" applyNumberFormat="1"/>
  </cellXfs>
  <cellStyles count="1">
    <cellStyle xfId="0" name="Normal" builtinId="0"/>
  </cellStyles>
  <dxfs count="2">
    <dxf>
      <font>
        <b/>
        <color rgb="FFB52319"/>
      </font>
      <fill>
        <patternFill patternType="solid">
          <fgColor rgb="FFFCE8E5"/>
          <bgColor rgb="FFFCE8E5"/>
        </patternFill>
      </fill>
      <border/>
    </dxf>
    <dxf>
      <font>
        <b/>
        <color rgb="FF8C590A"/>
      </font>
      <fill>
        <patternFill patternType="solid">
          <fgColor rgb="FFFFF2C9"/>
          <bgColor rgb="FFFFF2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5"/>
      <c r="D5" s="5"/>
      <c r="E5" s="5"/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5"/>
      <c r="D8" s="9" t="s">
        <v>15</v>
      </c>
      <c r="E8" s="11"/>
      <c r="F8" s="11"/>
      <c r="G8" s="11"/>
      <c r="H8" s="11"/>
      <c r="I8" s="12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5"/>
      <c r="D9" s="14"/>
      <c r="I9" s="15"/>
      <c r="J9" s="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5"/>
      <c r="D10" s="14"/>
      <c r="I10" s="15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5"/>
      <c r="D11" s="19"/>
      <c r="E11" s="20"/>
      <c r="F11" s="20"/>
      <c r="G11" s="20"/>
      <c r="H11" s="20"/>
      <c r="I11" s="22"/>
      <c r="J11" s="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5"/>
      <c r="D15" s="24" t="s">
        <v>30</v>
      </c>
      <c r="E15" s="11"/>
      <c r="F15" s="11"/>
      <c r="G15" s="11"/>
      <c r="H15" s="11"/>
      <c r="I15" s="12"/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5"/>
      <c r="D16" s="14"/>
      <c r="I16" s="15"/>
      <c r="J16" s="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5"/>
      <c r="D17" s="14"/>
      <c r="I17" s="15"/>
      <c r="J17" s="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5"/>
      <c r="D18" s="19"/>
      <c r="E18" s="20"/>
      <c r="F18" s="20"/>
      <c r="G18" s="20"/>
      <c r="H18" s="20"/>
      <c r="I18" s="22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5"/>
      <c r="D23" s="25" t="s">
        <v>33</v>
      </c>
      <c r="E23" s="11"/>
      <c r="F23" s="11"/>
      <c r="G23" s="11"/>
      <c r="H23" s="11"/>
      <c r="I23" s="12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5"/>
      <c r="D24" s="19"/>
      <c r="E24" s="20"/>
      <c r="F24" s="20"/>
      <c r="G24" s="20"/>
      <c r="H24" s="20"/>
      <c r="I24" s="22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3" t="s">
        <v>37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8:I11"/>
    <mergeCell ref="D15:I18"/>
    <mergeCell ref="D23:I24"/>
    <mergeCell ref="C29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4" width="27.0"/>
    <col customWidth="1" min="5" max="14" width="22.0"/>
    <col customWidth="1" min="15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4" t="s">
        <v>5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6</v>
      </c>
      <c r="D6" s="10">
        <f>Supuestos!D6</f>
        <v>46313</v>
      </c>
      <c r="E6" s="1"/>
      <c r="F6" s="13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 t="s">
        <v>9</v>
      </c>
      <c r="D7" s="23">
        <f>IF(COUNTIF(Creditos!M6:M15,"Revisar datos")&gt;0,"Revisar créditos",SUM(Creditos!E6:E15))</f>
        <v>1800000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 t="s">
        <v>31</v>
      </c>
      <c r="D8" s="23">
        <f>IF(OR(COUNTIF(Creditos!M6:M15,"Revisar datos")&gt;0,COUNTIF(Pagos!H6:H305,"Revisar pago")&gt;0),"Revisar datos",SUM(F17:F26))</f>
        <v>1760000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32</v>
      </c>
      <c r="D9" s="23">
        <f>SUM(H17:H26)</f>
        <v>60000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 t="s">
        <v>34</v>
      </c>
      <c r="D10" s="23">
        <f>SUM(L17:L26)</f>
        <v>40000</v>
      </c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 t="s">
        <v>35</v>
      </c>
      <c r="D11" s="23">
        <f>SUM(M17:M26)</f>
        <v>0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36</v>
      </c>
      <c r="D12" s="28">
        <f>COUNTIF(Creditos!M6:M15,"Revisar datos")+COUNTIF(Pagos!H6:H305,"Revisar pago")</f>
        <v>0</v>
      </c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29" t="s">
        <v>41</v>
      </c>
      <c r="D13" s="30">
        <f>IF(COUNTIF(Creditos!M6:M15,"Revisar datos")&gt;0,"Revisar créditos",SUM(H31:H40))</f>
        <v>119422.56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45.75" customHeight="1">
      <c r="A16" s="1"/>
      <c r="B16" s="1"/>
      <c r="C16" s="6" t="s">
        <v>42</v>
      </c>
      <c r="D16" s="6" t="s">
        <v>43</v>
      </c>
      <c r="E16" s="6" t="s">
        <v>9</v>
      </c>
      <c r="F16" s="6" t="s">
        <v>44</v>
      </c>
      <c r="G16" s="6" t="s">
        <v>45</v>
      </c>
      <c r="H16" s="6" t="s">
        <v>46</v>
      </c>
      <c r="I16" s="6" t="s">
        <v>47</v>
      </c>
      <c r="J16" s="6" t="s">
        <v>48</v>
      </c>
      <c r="K16" s="6" t="s">
        <v>49</v>
      </c>
      <c r="L16" s="6" t="s">
        <v>50</v>
      </c>
      <c r="M16" s="6" t="s">
        <v>51</v>
      </c>
      <c r="N16" s="6" t="s">
        <v>52</v>
      </c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28" t="str">
        <f>IF(Creditos!C6="","",Creditos!C6)</f>
        <v>CR001</v>
      </c>
      <c r="D17" s="28" t="str">
        <f>IF(Creditos!C6="","",Creditos!D6)</f>
        <v>Crédito equipos</v>
      </c>
      <c r="E17" s="23">
        <f>IF(Creditos!C6="","",Creditos!E6)</f>
        <v>1200000</v>
      </c>
      <c r="F17" s="23">
        <f>IF(Creditos!C6="","",Creditos!E6-SUM(Calendario!O6:O65))</f>
        <v>1200000</v>
      </c>
      <c r="G17" s="23">
        <f>IF(Creditos!C6="","",Creditos!P6)</f>
        <v>109118.55</v>
      </c>
      <c r="H17" s="23">
        <f>IF(Creditos!C6="","",SUMIFS(Calendario!P6:P65,Calendario!E6:E65,"&lt;="&amp;Supuestos!D6))</f>
        <v>0</v>
      </c>
      <c r="I17" s="31">
        <f>IF(Creditos!C6="","",MAX(Calendario!Q6:Q65))</f>
        <v>0</v>
      </c>
      <c r="J17" s="10">
        <f>IF(Creditos!C6="","",IF(MIN(Calendario!T6:T65)=999999,"Sin pendientes",MIN(Calendario!T6:T65)))</f>
        <v>46327</v>
      </c>
      <c r="K17" s="23">
        <f>IF(Creditos!C6="","",IF(ISNUMBER(J17),SUMIF(Calendario!E6:E65,J17,Calendario!P6:P65),0))</f>
        <v>109118.55</v>
      </c>
      <c r="L17" s="23">
        <f>IF(Creditos!C6="","",SUM(Calendario!N6:N65))</f>
        <v>0</v>
      </c>
      <c r="M17" s="23">
        <f>IF(Creditos!C6="","",SUM(Calendario!R6:R65))</f>
        <v>0</v>
      </c>
      <c r="N17" s="28" t="str">
        <f>IF(Creditos!C6="","",IF(Creditos!M6&lt;&gt;"OK","Revisar crédito",IF(COUNTIFS(Pagos!C6:C305,C17,Pagos!H6:H305,"Revisar pago")&gt;0,"Revisar pagos",IF(M17&gt;0.005,"Revisar excedente",IF(I17&gt;0,"Con atraso",IF(F17&lt;=0.005,"Capital pagado","Al día"))))))</f>
        <v>Al día</v>
      </c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28" t="str">
        <f>IF(Creditos!C7="","",Creditos!C7)</f>
        <v>CR002</v>
      </c>
      <c r="D18" s="28" t="str">
        <f>IF(Creditos!C7="","",Creditos!D7)</f>
        <v>Crédito sin interés</v>
      </c>
      <c r="E18" s="23">
        <f>IF(Creditos!C7="","",Creditos!E7)</f>
        <v>600000</v>
      </c>
      <c r="F18" s="23">
        <f>IF(Creditos!C7="","",Creditos!E7-SUM(Calendario!O66:O125))</f>
        <v>560000</v>
      </c>
      <c r="G18" s="23">
        <f>IF(Creditos!C7="","",Creditos!P7)</f>
        <v>100000</v>
      </c>
      <c r="H18" s="23">
        <f>IF(Creditos!C7="","",SUMIFS(Calendario!P66:P125,Calendario!E66:E125,"&lt;="&amp;Supuestos!D6))</f>
        <v>60000</v>
      </c>
      <c r="I18" s="31">
        <f>IF(Creditos!C7="","",MAX(Calendario!Q66:Q125))</f>
        <v>17</v>
      </c>
      <c r="J18" s="10">
        <f>IF(Creditos!C7="","",IF(MIN(Calendario!T66:T125)=999999,"Sin pendientes",MIN(Calendario!T66:T125)))</f>
        <v>46296</v>
      </c>
      <c r="K18" s="23">
        <f>IF(Creditos!C7="","",IF(ISNUMBER(J18),SUMIF(Calendario!E66:E125,J18,Calendario!P66:P125),0))</f>
        <v>60000</v>
      </c>
      <c r="L18" s="23">
        <f>IF(Creditos!C7="","",SUM(Calendario!N66:N125))</f>
        <v>40000</v>
      </c>
      <c r="M18" s="23">
        <f>IF(Creditos!C7="","",SUM(Calendario!R66:R125))</f>
        <v>0</v>
      </c>
      <c r="N18" s="28" t="str">
        <f>IF(Creditos!C7="","",IF(Creditos!M7&lt;&gt;"OK","Revisar crédito",IF(COUNTIFS(Pagos!C6:C305,C18,Pagos!H6:H305,"Revisar pago")&gt;0,"Revisar pagos",IF(M18&gt;0.005,"Revisar excedente",IF(I18&gt;0,"Con atraso",IF(F18&lt;=0.005,"Capital pagado","Al día"))))))</f>
        <v>Con atraso</v>
      </c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28" t="str">
        <f>IF(Creditos!C8="","",Creditos!C8)</f>
        <v/>
      </c>
      <c r="D19" s="28" t="str">
        <f>IF(Creditos!C8="","",Creditos!D8)</f>
        <v/>
      </c>
      <c r="E19" s="23" t="str">
        <f>IF(Creditos!C8="","",Creditos!E8)</f>
        <v/>
      </c>
      <c r="F19" s="23" t="str">
        <f>IF(Creditos!C8="","",Creditos!E8-SUM(Calendario!O126:O185))</f>
        <v/>
      </c>
      <c r="G19" s="23" t="str">
        <f>IF(Creditos!C8="","",Creditos!P8)</f>
        <v/>
      </c>
      <c r="H19" s="23" t="str">
        <f>IF(Creditos!C8="","",SUMIFS(Calendario!P126:P185,Calendario!E126:E185,"&lt;="&amp;Supuestos!D6))</f>
        <v/>
      </c>
      <c r="I19" s="31" t="str">
        <f>IF(Creditos!C8="","",MAX(Calendario!Q126:Q185))</f>
        <v/>
      </c>
      <c r="J19" s="10" t="str">
        <f>IF(Creditos!C8="","",IF(MIN(Calendario!T126:T185)=999999,"Sin pendientes",MIN(Calendario!T126:T185)))</f>
        <v/>
      </c>
      <c r="K19" s="23" t="str">
        <f>IF(Creditos!C8="","",IF(ISNUMBER(J19),SUMIF(Calendario!E126:E185,J19,Calendario!P126:P185),0))</f>
        <v/>
      </c>
      <c r="L19" s="23" t="str">
        <f>IF(Creditos!C8="","",SUM(Calendario!N126:N185))</f>
        <v/>
      </c>
      <c r="M19" s="23" t="str">
        <f>IF(Creditos!C8="","",SUM(Calendario!R126:R185))</f>
        <v/>
      </c>
      <c r="N19" s="28" t="str">
        <f>IF(Creditos!C8="","",IF(Creditos!M8&lt;&gt;"OK","Revisar crédito",IF(COUNTIFS(Pagos!C6:C305,C19,Pagos!H6:H305,"Revisar pago")&gt;0,"Revisar pagos",IF(M19&gt;0.005,"Revisar excedente",IF(I19&gt;0,"Con atraso",IF(F19&lt;=0.005,"Capital pagado","Al día"))))))</f>
        <v/>
      </c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28" t="str">
        <f>IF(Creditos!C9="","",Creditos!C9)</f>
        <v/>
      </c>
      <c r="D20" s="28" t="str">
        <f>IF(Creditos!C9="","",Creditos!D9)</f>
        <v/>
      </c>
      <c r="E20" s="23" t="str">
        <f>IF(Creditos!C9="","",Creditos!E9)</f>
        <v/>
      </c>
      <c r="F20" s="23" t="str">
        <f>IF(Creditos!C9="","",Creditos!E9-SUM(Calendario!O186:O245))</f>
        <v/>
      </c>
      <c r="G20" s="23" t="str">
        <f>IF(Creditos!C9="","",Creditos!P9)</f>
        <v/>
      </c>
      <c r="H20" s="23" t="str">
        <f>IF(Creditos!C9="","",SUMIFS(Calendario!P186:P245,Calendario!E186:E245,"&lt;="&amp;Supuestos!D6))</f>
        <v/>
      </c>
      <c r="I20" s="31" t="str">
        <f>IF(Creditos!C9="","",MAX(Calendario!Q186:Q245))</f>
        <v/>
      </c>
      <c r="J20" s="10" t="str">
        <f>IF(Creditos!C9="","",IF(MIN(Calendario!T186:T245)=999999,"Sin pendientes",MIN(Calendario!T186:T245)))</f>
        <v/>
      </c>
      <c r="K20" s="23" t="str">
        <f>IF(Creditos!C9="","",IF(ISNUMBER(J20),SUMIF(Calendario!E186:E245,J20,Calendario!P186:P245),0))</f>
        <v/>
      </c>
      <c r="L20" s="23" t="str">
        <f>IF(Creditos!C9="","",SUM(Calendario!N186:N245))</f>
        <v/>
      </c>
      <c r="M20" s="23" t="str">
        <f>IF(Creditos!C9="","",SUM(Calendario!R186:R245))</f>
        <v/>
      </c>
      <c r="N20" s="28" t="str">
        <f>IF(Creditos!C9="","",IF(Creditos!M9&lt;&gt;"OK","Revisar crédito",IF(COUNTIFS(Pagos!C6:C305,C20,Pagos!H6:H305,"Revisar pago")&gt;0,"Revisar pagos",IF(M20&gt;0.005,"Revisar excedente",IF(I20&gt;0,"Con atraso",IF(F20&lt;=0.005,"Capital pagado","Al día"))))))</f>
        <v/>
      </c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28" t="str">
        <f>IF(Creditos!C10="","",Creditos!C10)</f>
        <v/>
      </c>
      <c r="D21" s="28" t="str">
        <f>IF(Creditos!C10="","",Creditos!D10)</f>
        <v/>
      </c>
      <c r="E21" s="23" t="str">
        <f>IF(Creditos!C10="","",Creditos!E10)</f>
        <v/>
      </c>
      <c r="F21" s="23" t="str">
        <f>IF(Creditos!C10="","",Creditos!E10-SUM(Calendario!O246:O305))</f>
        <v/>
      </c>
      <c r="G21" s="23" t="str">
        <f>IF(Creditos!C10="","",Creditos!P10)</f>
        <v/>
      </c>
      <c r="H21" s="23" t="str">
        <f>IF(Creditos!C10="","",SUMIFS(Calendario!P246:P305,Calendario!E246:E305,"&lt;="&amp;Supuestos!D6))</f>
        <v/>
      </c>
      <c r="I21" s="31" t="str">
        <f>IF(Creditos!C10="","",MAX(Calendario!Q246:Q305))</f>
        <v/>
      </c>
      <c r="J21" s="10" t="str">
        <f>IF(Creditos!C10="","",IF(MIN(Calendario!T246:T305)=999999,"Sin pendientes",MIN(Calendario!T246:T305)))</f>
        <v/>
      </c>
      <c r="K21" s="23" t="str">
        <f>IF(Creditos!C10="","",IF(ISNUMBER(J21),SUMIF(Calendario!E246:E305,J21,Calendario!P246:P305),0))</f>
        <v/>
      </c>
      <c r="L21" s="23" t="str">
        <f>IF(Creditos!C10="","",SUM(Calendario!N246:N305))</f>
        <v/>
      </c>
      <c r="M21" s="23" t="str">
        <f>IF(Creditos!C10="","",SUM(Calendario!R246:R305))</f>
        <v/>
      </c>
      <c r="N21" s="28" t="str">
        <f>IF(Creditos!C10="","",IF(Creditos!M10&lt;&gt;"OK","Revisar crédito",IF(COUNTIFS(Pagos!C6:C305,C21,Pagos!H6:H305,"Revisar pago")&gt;0,"Revisar pagos",IF(M21&gt;0.005,"Revisar excedente",IF(I21&gt;0,"Con atraso",IF(F21&lt;=0.005,"Capital pagado","Al día"))))))</f>
        <v/>
      </c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28" t="str">
        <f>IF(Creditos!C11="","",Creditos!C11)</f>
        <v/>
      </c>
      <c r="D22" s="28" t="str">
        <f>IF(Creditos!C11="","",Creditos!D11)</f>
        <v/>
      </c>
      <c r="E22" s="23" t="str">
        <f>IF(Creditos!C11="","",Creditos!E11)</f>
        <v/>
      </c>
      <c r="F22" s="23" t="str">
        <f>IF(Creditos!C11="","",Creditos!E11-SUM(Calendario!O306:O365))</f>
        <v/>
      </c>
      <c r="G22" s="23" t="str">
        <f>IF(Creditos!C11="","",Creditos!P11)</f>
        <v/>
      </c>
      <c r="H22" s="23" t="str">
        <f>IF(Creditos!C11="","",SUMIFS(Calendario!P306:P365,Calendario!E306:E365,"&lt;="&amp;Supuestos!D6))</f>
        <v/>
      </c>
      <c r="I22" s="31" t="str">
        <f>IF(Creditos!C11="","",MAX(Calendario!Q306:Q365))</f>
        <v/>
      </c>
      <c r="J22" s="10" t="str">
        <f>IF(Creditos!C11="","",IF(MIN(Calendario!T306:T365)=999999,"Sin pendientes",MIN(Calendario!T306:T365)))</f>
        <v/>
      </c>
      <c r="K22" s="23" t="str">
        <f>IF(Creditos!C11="","",IF(ISNUMBER(J22),SUMIF(Calendario!E306:E365,J22,Calendario!P306:P365),0))</f>
        <v/>
      </c>
      <c r="L22" s="23" t="str">
        <f>IF(Creditos!C11="","",SUM(Calendario!N306:N365))</f>
        <v/>
      </c>
      <c r="M22" s="23" t="str">
        <f>IF(Creditos!C11="","",SUM(Calendario!R306:R365))</f>
        <v/>
      </c>
      <c r="N22" s="28" t="str">
        <f>IF(Creditos!C11="","",IF(Creditos!M11&lt;&gt;"OK","Revisar crédito",IF(COUNTIFS(Pagos!C6:C305,C22,Pagos!H6:H305,"Revisar pago")&gt;0,"Revisar pagos",IF(M22&gt;0.005,"Revisar excedente",IF(I22&gt;0,"Con atraso",IF(F22&lt;=0.005,"Capital pagado","Al día"))))))</f>
        <v/>
      </c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28" t="str">
        <f>IF(Creditos!C12="","",Creditos!C12)</f>
        <v/>
      </c>
      <c r="D23" s="28" t="str">
        <f>IF(Creditos!C12="","",Creditos!D12)</f>
        <v/>
      </c>
      <c r="E23" s="23" t="str">
        <f>IF(Creditos!C12="","",Creditos!E12)</f>
        <v/>
      </c>
      <c r="F23" s="23" t="str">
        <f>IF(Creditos!C12="","",Creditos!E12-SUM(Calendario!O366:O425))</f>
        <v/>
      </c>
      <c r="G23" s="23" t="str">
        <f>IF(Creditos!C12="","",Creditos!P12)</f>
        <v/>
      </c>
      <c r="H23" s="23" t="str">
        <f>IF(Creditos!C12="","",SUMIFS(Calendario!P366:P425,Calendario!E366:E425,"&lt;="&amp;Supuestos!D6))</f>
        <v/>
      </c>
      <c r="I23" s="31" t="str">
        <f>IF(Creditos!C12="","",MAX(Calendario!Q366:Q425))</f>
        <v/>
      </c>
      <c r="J23" s="10" t="str">
        <f>IF(Creditos!C12="","",IF(MIN(Calendario!T366:T425)=999999,"Sin pendientes",MIN(Calendario!T366:T425)))</f>
        <v/>
      </c>
      <c r="K23" s="23" t="str">
        <f>IF(Creditos!C12="","",IF(ISNUMBER(J23),SUMIF(Calendario!E366:E425,J23,Calendario!P366:P425),0))</f>
        <v/>
      </c>
      <c r="L23" s="23" t="str">
        <f>IF(Creditos!C12="","",SUM(Calendario!N366:N425))</f>
        <v/>
      </c>
      <c r="M23" s="23" t="str">
        <f>IF(Creditos!C12="","",SUM(Calendario!R366:R425))</f>
        <v/>
      </c>
      <c r="N23" s="28" t="str">
        <f>IF(Creditos!C12="","",IF(Creditos!M12&lt;&gt;"OK","Revisar crédito",IF(COUNTIFS(Pagos!C6:C305,C23,Pagos!H6:H305,"Revisar pago")&gt;0,"Revisar pagos",IF(M23&gt;0.005,"Revisar excedente",IF(I23&gt;0,"Con atraso",IF(F23&lt;=0.005,"Capital pagado","Al día"))))))</f>
        <v/>
      </c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28" t="str">
        <f>IF(Creditos!C13="","",Creditos!C13)</f>
        <v/>
      </c>
      <c r="D24" s="28" t="str">
        <f>IF(Creditos!C13="","",Creditos!D13)</f>
        <v/>
      </c>
      <c r="E24" s="23" t="str">
        <f>IF(Creditos!C13="","",Creditos!E13)</f>
        <v/>
      </c>
      <c r="F24" s="23" t="str">
        <f>IF(Creditos!C13="","",Creditos!E13-SUM(Calendario!O426:O485))</f>
        <v/>
      </c>
      <c r="G24" s="23" t="str">
        <f>IF(Creditos!C13="","",Creditos!P13)</f>
        <v/>
      </c>
      <c r="H24" s="23" t="str">
        <f>IF(Creditos!C13="","",SUMIFS(Calendario!P426:P485,Calendario!E426:E485,"&lt;="&amp;Supuestos!D6))</f>
        <v/>
      </c>
      <c r="I24" s="31" t="str">
        <f>IF(Creditos!C13="","",MAX(Calendario!Q426:Q485))</f>
        <v/>
      </c>
      <c r="J24" s="10" t="str">
        <f>IF(Creditos!C13="","",IF(MIN(Calendario!T426:T485)=999999,"Sin pendientes",MIN(Calendario!T426:T485)))</f>
        <v/>
      </c>
      <c r="K24" s="23" t="str">
        <f>IF(Creditos!C13="","",IF(ISNUMBER(J24),SUMIF(Calendario!E426:E485,J24,Calendario!P426:P485),0))</f>
        <v/>
      </c>
      <c r="L24" s="23" t="str">
        <f>IF(Creditos!C13="","",SUM(Calendario!N426:N485))</f>
        <v/>
      </c>
      <c r="M24" s="23" t="str">
        <f>IF(Creditos!C13="","",SUM(Calendario!R426:R485))</f>
        <v/>
      </c>
      <c r="N24" s="28" t="str">
        <f>IF(Creditos!C13="","",IF(Creditos!M13&lt;&gt;"OK","Revisar crédito",IF(COUNTIFS(Pagos!C6:C305,C24,Pagos!H6:H305,"Revisar pago")&gt;0,"Revisar pagos",IF(M24&gt;0.005,"Revisar excedente",IF(I24&gt;0,"Con atraso",IF(F24&lt;=0.005,"Capital pagado","Al día"))))))</f>
        <v/>
      </c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28" t="str">
        <f>IF(Creditos!C14="","",Creditos!C14)</f>
        <v/>
      </c>
      <c r="D25" s="28" t="str">
        <f>IF(Creditos!C14="","",Creditos!D14)</f>
        <v/>
      </c>
      <c r="E25" s="23" t="str">
        <f>IF(Creditos!C14="","",Creditos!E14)</f>
        <v/>
      </c>
      <c r="F25" s="23" t="str">
        <f>IF(Creditos!C14="","",Creditos!E14-SUM(Calendario!O486:O545))</f>
        <v/>
      </c>
      <c r="G25" s="23" t="str">
        <f>IF(Creditos!C14="","",Creditos!P14)</f>
        <v/>
      </c>
      <c r="H25" s="23" t="str">
        <f>IF(Creditos!C14="","",SUMIFS(Calendario!P486:P545,Calendario!E486:E545,"&lt;="&amp;Supuestos!D6))</f>
        <v/>
      </c>
      <c r="I25" s="31" t="str">
        <f>IF(Creditos!C14="","",MAX(Calendario!Q486:Q545))</f>
        <v/>
      </c>
      <c r="J25" s="10" t="str">
        <f>IF(Creditos!C14="","",IF(MIN(Calendario!T486:T545)=999999,"Sin pendientes",MIN(Calendario!T486:T545)))</f>
        <v/>
      </c>
      <c r="K25" s="23" t="str">
        <f>IF(Creditos!C14="","",IF(ISNUMBER(J25),SUMIF(Calendario!E486:E545,J25,Calendario!P486:P545),0))</f>
        <v/>
      </c>
      <c r="L25" s="23" t="str">
        <f>IF(Creditos!C14="","",SUM(Calendario!N486:N545))</f>
        <v/>
      </c>
      <c r="M25" s="23" t="str">
        <f>IF(Creditos!C14="","",SUM(Calendario!R486:R545))</f>
        <v/>
      </c>
      <c r="N25" s="28" t="str">
        <f>IF(Creditos!C14="","",IF(Creditos!M14&lt;&gt;"OK","Revisar crédito",IF(COUNTIFS(Pagos!C6:C305,C25,Pagos!H6:H305,"Revisar pago")&gt;0,"Revisar pagos",IF(M25&gt;0.005,"Revisar excedente",IF(I25&gt;0,"Con atraso",IF(F25&lt;=0.005,"Capital pagado","Al día"))))))</f>
        <v/>
      </c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28" t="str">
        <f>IF(Creditos!C15="","",Creditos!C15)</f>
        <v/>
      </c>
      <c r="D26" s="28" t="str">
        <f>IF(Creditos!C15="","",Creditos!D15)</f>
        <v/>
      </c>
      <c r="E26" s="23" t="str">
        <f>IF(Creditos!C15="","",Creditos!E15)</f>
        <v/>
      </c>
      <c r="F26" s="23" t="str">
        <f>IF(Creditos!C15="","",Creditos!E15-SUM(Calendario!O546:O605))</f>
        <v/>
      </c>
      <c r="G26" s="23" t="str">
        <f>IF(Creditos!C15="","",Creditos!P15)</f>
        <v/>
      </c>
      <c r="H26" s="23" t="str">
        <f>IF(Creditos!C15="","",SUMIFS(Calendario!P546:P605,Calendario!E546:E605,"&lt;="&amp;Supuestos!D6))</f>
        <v/>
      </c>
      <c r="I26" s="31" t="str">
        <f>IF(Creditos!C15="","",MAX(Calendario!Q546:Q605))</f>
        <v/>
      </c>
      <c r="J26" s="10" t="str">
        <f>IF(Creditos!C15="","",IF(MIN(Calendario!T546:T605)=999999,"Sin pendientes",MIN(Calendario!T546:T605)))</f>
        <v/>
      </c>
      <c r="K26" s="23" t="str">
        <f>IF(Creditos!C15="","",IF(ISNUMBER(J26),SUMIF(Calendario!E546:E605,J26,Calendario!P546:P605),0))</f>
        <v/>
      </c>
      <c r="L26" s="23" t="str">
        <f>IF(Creditos!C15="","",SUM(Calendario!N546:N605))</f>
        <v/>
      </c>
      <c r="M26" s="23" t="str">
        <f>IF(Creditos!C15="","",SUM(Calendario!R546:R605))</f>
        <v/>
      </c>
      <c r="N26" s="28" t="str">
        <f>IF(Creditos!C15="","",IF(Creditos!M15&lt;&gt;"OK","Revisar crédito",IF(COUNTIFS(Pagos!C6:C305,C26,Pagos!H6:H305,"Revisar pago")&gt;0,"Revisar pagos",IF(M26&gt;0.005,"Revisar excedente",IF(I26&gt;0,"Con atraso",IF(F26&lt;=0.005,"Capital pagado","Al día"))))))</f>
        <v/>
      </c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40" t="s">
        <v>109</v>
      </c>
      <c r="D29" s="41"/>
      <c r="E29" s="41"/>
      <c r="F29" s="41"/>
      <c r="G29" s="41"/>
      <c r="H29" s="41"/>
      <c r="I29" s="41"/>
      <c r="J29" s="4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37.5" customHeight="1">
      <c r="A30" s="1"/>
      <c r="B30" s="1"/>
      <c r="C30" s="6" t="s">
        <v>42</v>
      </c>
      <c r="D30" s="6" t="s">
        <v>43</v>
      </c>
      <c r="E30" s="6" t="s">
        <v>110</v>
      </c>
      <c r="F30" s="6" t="s">
        <v>111</v>
      </c>
      <c r="G30" s="6" t="s">
        <v>19</v>
      </c>
      <c r="H30" s="6" t="s">
        <v>112</v>
      </c>
      <c r="I30" s="6" t="s">
        <v>113</v>
      </c>
      <c r="J30" s="6" t="s">
        <v>24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 t="str">
        <f>IF(Creditos!C6="","",Creditos!C6)</f>
        <v>CR001</v>
      </c>
      <c r="D31" s="1" t="str">
        <f>IF(C31="","",Creditos!D6)</f>
        <v>Crédito equipos</v>
      </c>
      <c r="E31" s="30">
        <f>IF(C31="","",SUM(Calendario!H6:H65))</f>
        <v>79422.56</v>
      </c>
      <c r="F31" s="30">
        <f>IF(C31="","",SUM(Calendario!K6:K65))</f>
        <v>30000</v>
      </c>
      <c r="G31" s="30">
        <f>IF(C31="","",Creditos!L6)</f>
        <v>10000</v>
      </c>
      <c r="H31" s="30">
        <f t="shared" ref="H31:H40" si="1">IF(C31="","",SUM(E31:G31))</f>
        <v>119422.56</v>
      </c>
      <c r="I31" s="30">
        <f>IF(C31="","",Creditos!E6+H31)</f>
        <v>1319422.56</v>
      </c>
      <c r="J31" s="30">
        <f>IF(C31="","",Creditos!Q6)</f>
        <v>1190000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 t="str">
        <f>IF(Creditos!C7="","",Creditos!C7)</f>
        <v>CR002</v>
      </c>
      <c r="D32" s="1" t="str">
        <f>IF(C32="","",Creditos!D7)</f>
        <v>Crédito sin interés</v>
      </c>
      <c r="E32" s="30">
        <f>IF(C32="","",SUM(Calendario!H66:H125))</f>
        <v>0</v>
      </c>
      <c r="F32" s="30">
        <f>IF(C32="","",SUM(Calendario!K66:K125))</f>
        <v>0</v>
      </c>
      <c r="G32" s="30">
        <f>IF(C32="","",Creditos!L7)</f>
        <v>0</v>
      </c>
      <c r="H32" s="30">
        <f t="shared" si="1"/>
        <v>0</v>
      </c>
      <c r="I32" s="30">
        <f>IF(C32="","",Creditos!E7+H32)</f>
        <v>600000</v>
      </c>
      <c r="J32" s="30">
        <f>IF(C32="","",Creditos!Q7)</f>
        <v>600000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 t="str">
        <f>IF(Creditos!C8="","",Creditos!C8)</f>
        <v/>
      </c>
      <c r="D33" s="1" t="str">
        <f>IF(C33="","",Creditos!D8)</f>
        <v/>
      </c>
      <c r="E33" s="30" t="str">
        <f>IF(C33="","",SUM(Calendario!H126:H185))</f>
        <v/>
      </c>
      <c r="F33" s="30" t="str">
        <f>IF(C33="","",SUM(Calendario!K126:K185))</f>
        <v/>
      </c>
      <c r="G33" s="30" t="str">
        <f>IF(C33="","",Creditos!L8)</f>
        <v/>
      </c>
      <c r="H33" s="30" t="str">
        <f t="shared" si="1"/>
        <v/>
      </c>
      <c r="I33" s="30" t="str">
        <f>IF(C33="","",Creditos!E8+H33)</f>
        <v/>
      </c>
      <c r="J33" s="30" t="str">
        <f>IF(C33="","",Creditos!Q8)</f>
        <v/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 t="str">
        <f>IF(Creditos!C9="","",Creditos!C9)</f>
        <v/>
      </c>
      <c r="D34" s="1" t="str">
        <f>IF(C34="","",Creditos!D9)</f>
        <v/>
      </c>
      <c r="E34" s="30" t="str">
        <f>IF(C34="","",SUM(Calendario!H186:H245))</f>
        <v/>
      </c>
      <c r="F34" s="30" t="str">
        <f>IF(C34="","",SUM(Calendario!K186:K245))</f>
        <v/>
      </c>
      <c r="G34" s="30" t="str">
        <f>IF(C34="","",Creditos!L9)</f>
        <v/>
      </c>
      <c r="H34" s="30" t="str">
        <f t="shared" si="1"/>
        <v/>
      </c>
      <c r="I34" s="30" t="str">
        <f>IF(C34="","",Creditos!E9+H34)</f>
        <v/>
      </c>
      <c r="J34" s="30" t="str">
        <f>IF(C34="","",Creditos!Q9)</f>
        <v/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 t="str">
        <f>IF(Creditos!C10="","",Creditos!C10)</f>
        <v/>
      </c>
      <c r="D35" s="1" t="str">
        <f>IF(C35="","",Creditos!D10)</f>
        <v/>
      </c>
      <c r="E35" s="30" t="str">
        <f>IF(C35="","",SUM(Calendario!H246:H305))</f>
        <v/>
      </c>
      <c r="F35" s="30" t="str">
        <f>IF(C35="","",SUM(Calendario!K246:K305))</f>
        <v/>
      </c>
      <c r="G35" s="30" t="str">
        <f>IF(C35="","",Creditos!L10)</f>
        <v/>
      </c>
      <c r="H35" s="30" t="str">
        <f t="shared" si="1"/>
        <v/>
      </c>
      <c r="I35" s="30" t="str">
        <f>IF(C35="","",Creditos!E10+H35)</f>
        <v/>
      </c>
      <c r="J35" s="30" t="str">
        <f>IF(C35="","",Creditos!Q10)</f>
        <v/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 t="str">
        <f>IF(Creditos!C11="","",Creditos!C11)</f>
        <v/>
      </c>
      <c r="D36" s="1" t="str">
        <f>IF(C36="","",Creditos!D11)</f>
        <v/>
      </c>
      <c r="E36" s="30" t="str">
        <f>IF(C36="","",SUM(Calendario!H306:H365))</f>
        <v/>
      </c>
      <c r="F36" s="30" t="str">
        <f>IF(C36="","",SUM(Calendario!K306:K365))</f>
        <v/>
      </c>
      <c r="G36" s="30" t="str">
        <f>IF(C36="","",Creditos!L11)</f>
        <v/>
      </c>
      <c r="H36" s="30" t="str">
        <f t="shared" si="1"/>
        <v/>
      </c>
      <c r="I36" s="30" t="str">
        <f>IF(C36="","",Creditos!E11+H36)</f>
        <v/>
      </c>
      <c r="J36" s="30" t="str">
        <f>IF(C36="","",Creditos!Q11)</f>
        <v/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 t="str">
        <f>IF(Creditos!C12="","",Creditos!C12)</f>
        <v/>
      </c>
      <c r="D37" s="1" t="str">
        <f>IF(C37="","",Creditos!D12)</f>
        <v/>
      </c>
      <c r="E37" s="30" t="str">
        <f>IF(C37="","",SUM(Calendario!H366:H425))</f>
        <v/>
      </c>
      <c r="F37" s="30" t="str">
        <f>IF(C37="","",SUM(Calendario!K366:K425))</f>
        <v/>
      </c>
      <c r="G37" s="30" t="str">
        <f>IF(C37="","",Creditos!L12)</f>
        <v/>
      </c>
      <c r="H37" s="30" t="str">
        <f t="shared" si="1"/>
        <v/>
      </c>
      <c r="I37" s="30" t="str">
        <f>IF(C37="","",Creditos!E12+H37)</f>
        <v/>
      </c>
      <c r="J37" s="30" t="str">
        <f>IF(C37="","",Creditos!Q12)</f>
        <v/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 t="str">
        <f>IF(Creditos!C13="","",Creditos!C13)</f>
        <v/>
      </c>
      <c r="D38" s="1" t="str">
        <f>IF(C38="","",Creditos!D13)</f>
        <v/>
      </c>
      <c r="E38" s="30" t="str">
        <f>IF(C38="","",SUM(Calendario!H426:H485))</f>
        <v/>
      </c>
      <c r="F38" s="30" t="str">
        <f>IF(C38="","",SUM(Calendario!K426:K485))</f>
        <v/>
      </c>
      <c r="G38" s="30" t="str">
        <f>IF(C38="","",Creditos!L13)</f>
        <v/>
      </c>
      <c r="H38" s="30" t="str">
        <f t="shared" si="1"/>
        <v/>
      </c>
      <c r="I38" s="30" t="str">
        <f>IF(C38="","",Creditos!E13+H38)</f>
        <v/>
      </c>
      <c r="J38" s="30" t="str">
        <f>IF(C38="","",Creditos!Q13)</f>
        <v/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 t="str">
        <f>IF(Creditos!C14="","",Creditos!C14)</f>
        <v/>
      </c>
      <c r="D39" s="1" t="str">
        <f>IF(C39="","",Creditos!D14)</f>
        <v/>
      </c>
      <c r="E39" s="30" t="str">
        <f>IF(C39="","",SUM(Calendario!H486:H545))</f>
        <v/>
      </c>
      <c r="F39" s="30" t="str">
        <f>IF(C39="","",SUM(Calendario!K486:K545))</f>
        <v/>
      </c>
      <c r="G39" s="30" t="str">
        <f>IF(C39="","",Creditos!L14)</f>
        <v/>
      </c>
      <c r="H39" s="30" t="str">
        <f t="shared" si="1"/>
        <v/>
      </c>
      <c r="I39" s="30" t="str">
        <f>IF(C39="","",Creditos!E14+H39)</f>
        <v/>
      </c>
      <c r="J39" s="30" t="str">
        <f>IF(C39="","",Creditos!Q14)</f>
        <v/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 t="str">
        <f>IF(Creditos!C15="","",Creditos!C15)</f>
        <v/>
      </c>
      <c r="D40" s="1" t="str">
        <f>IF(C40="","",Creditos!D15)</f>
        <v/>
      </c>
      <c r="E40" s="30" t="str">
        <f>IF(C40="","",SUM(Calendario!H546:H605))</f>
        <v/>
      </c>
      <c r="F40" s="30" t="str">
        <f>IF(C40="","",SUM(Calendario!K546:K605))</f>
        <v/>
      </c>
      <c r="G40" s="30" t="str">
        <f>IF(C40="","",Creditos!L15)</f>
        <v/>
      </c>
      <c r="H40" s="30" t="str">
        <f t="shared" si="1"/>
        <v/>
      </c>
      <c r="I40" s="30" t="str">
        <f>IF(C40="","",Creditos!E15+H40)</f>
        <v/>
      </c>
      <c r="J40" s="30" t="str">
        <f>IF(C40="","",Creditos!Q15)</f>
        <v/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J12"/>
  </mergeCells>
  <conditionalFormatting sqref="N17:N26">
    <cfRule type="containsText" dxfId="1" priority="1" stopIfTrue="1" operator="containsText" text="atraso">
      <formula>NOT(ISERROR(SEARCH(("atraso"),(N17))))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4" t="s">
        <v>3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6</v>
      </c>
      <c r="D6" s="7">
        <v>46313.0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 t="s">
        <v>14</v>
      </c>
      <c r="D7" s="8" t="s">
        <v>18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3" t="s">
        <v>28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0:J15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16.0"/>
    <col customWidth="1" min="4" max="4" width="26.0"/>
    <col customWidth="1" min="5" max="6" width="21.0"/>
    <col customWidth="1" min="7" max="7" width="24.0"/>
    <col customWidth="1" min="8" max="17" width="21.0"/>
    <col customWidth="1" min="18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16</v>
      </c>
      <c r="K5" s="6" t="s">
        <v>17</v>
      </c>
      <c r="L5" s="6" t="s">
        <v>19</v>
      </c>
      <c r="M5" s="6" t="s">
        <v>20</v>
      </c>
      <c r="N5" s="6" t="s">
        <v>21</v>
      </c>
      <c r="O5" s="6" t="s">
        <v>22</v>
      </c>
      <c r="P5" s="6" t="s">
        <v>23</v>
      </c>
      <c r="Q5" s="6" t="s">
        <v>24</v>
      </c>
      <c r="R5" s="1"/>
      <c r="S5" s="1"/>
      <c r="T5" s="1"/>
      <c r="U5" s="1"/>
      <c r="V5" s="1"/>
    </row>
    <row r="6" ht="24.75" customHeight="1">
      <c r="A6" s="1"/>
      <c r="B6" s="1"/>
      <c r="C6" s="8" t="s">
        <v>25</v>
      </c>
      <c r="D6" s="8" t="s">
        <v>26</v>
      </c>
      <c r="E6" s="16">
        <v>1200000.0</v>
      </c>
      <c r="F6" s="17">
        <v>0.12</v>
      </c>
      <c r="G6" s="18" t="s">
        <v>29</v>
      </c>
      <c r="H6" s="8">
        <v>12.0</v>
      </c>
      <c r="I6" s="21">
        <v>46327.0</v>
      </c>
      <c r="J6" s="16">
        <v>2000.0</v>
      </c>
      <c r="K6" s="16">
        <v>500.0</v>
      </c>
      <c r="L6" s="16">
        <v>10000.0</v>
      </c>
      <c r="M6" s="1" t="str">
        <f>IF(C6="","",IF(AND(COUNTIF(C6:C15,C6)=1,ISNUMBER(E6),E6&gt;0,ISNUMBER(F6),F6&gt;=0,OR(G6="Nominal anual",G6="Efectiva anual",G6="Mensual"),H6&gt;=1,H6&lt;=60,H6=INT(H6),ISNUMBER(I6),I6&gt;0,J6&gt;=0,K6&gt;=0,L6&gt;=0,L6&lt;=E6),"OK","Revisar datos"))</f>
        <v>OK</v>
      </c>
      <c r="N6" s="26">
        <f t="shared" ref="N6:N15" si="1">IF(C6="","",IF(M6="OK",IF(G6="Nominal anual",F6/12,IF(G6="Efectiva anual",(1+F6)^(1/12)-1,F6)),"n.a."))</f>
        <v>0.01</v>
      </c>
      <c r="O6" s="27">
        <f t="shared" ref="O6:O15" si="2">IF(C6="","",IF(M6="OK",ROUND(IF(N6=0,E6/H6,-PMT(N6,H6,E6)),2),"n.a."))</f>
        <v>106618.55</v>
      </c>
      <c r="P6" s="27">
        <f t="shared" ref="P6:P15" si="3">IF(C6="","",IF(M6="OK",O6+J6+K6,"n.a."))</f>
        <v>109118.55</v>
      </c>
      <c r="Q6" s="27">
        <f t="shared" ref="Q6:Q15" si="4">IF(C6="","",IF(M6="OK",E6-L6,"n.a."))</f>
        <v>1190000</v>
      </c>
      <c r="R6" s="1"/>
      <c r="S6" s="1"/>
      <c r="T6" s="1"/>
      <c r="U6" s="1"/>
      <c r="V6" s="1"/>
    </row>
    <row r="7" ht="24.75" customHeight="1">
      <c r="A7" s="1"/>
      <c r="B7" s="1"/>
      <c r="C7" s="8" t="s">
        <v>38</v>
      </c>
      <c r="D7" s="8" t="s">
        <v>39</v>
      </c>
      <c r="E7" s="16">
        <v>600000.0</v>
      </c>
      <c r="F7" s="17">
        <v>0.0</v>
      </c>
      <c r="G7" s="8" t="s">
        <v>40</v>
      </c>
      <c r="H7" s="8">
        <v>6.0</v>
      </c>
      <c r="I7" s="21">
        <v>46296.0</v>
      </c>
      <c r="J7" s="16">
        <v>0.0</v>
      </c>
      <c r="K7" s="16">
        <v>0.0</v>
      </c>
      <c r="L7" s="16">
        <v>0.0</v>
      </c>
      <c r="M7" s="1" t="str">
        <f>IF(C7="","",IF(AND(COUNTIF(C6:C15,C7)=1,ISNUMBER(E7),E7&gt;0,ISNUMBER(F7),F7&gt;=0,OR(G7="Nominal anual",G7="Efectiva anual",G7="Mensual"),H7&gt;=1,H7&lt;=60,H7=INT(H7),ISNUMBER(I7),I7&gt;0,J7&gt;=0,K7&gt;=0,L7&gt;=0,L7&lt;=E7),"OK","Revisar datos"))</f>
        <v>OK</v>
      </c>
      <c r="N7" s="26">
        <f t="shared" si="1"/>
        <v>0</v>
      </c>
      <c r="O7" s="27">
        <f t="shared" si="2"/>
        <v>100000</v>
      </c>
      <c r="P7" s="27">
        <f t="shared" si="3"/>
        <v>100000</v>
      </c>
      <c r="Q7" s="27">
        <f t="shared" si="4"/>
        <v>600000</v>
      </c>
      <c r="R7" s="1"/>
      <c r="S7" s="1"/>
      <c r="T7" s="1"/>
      <c r="U7" s="1"/>
      <c r="V7" s="1"/>
    </row>
    <row r="8" ht="24.75" customHeight="1">
      <c r="A8" s="1"/>
      <c r="B8" s="1"/>
      <c r="C8" s="8"/>
      <c r="D8" s="8"/>
      <c r="E8" s="16"/>
      <c r="F8" s="17"/>
      <c r="G8" s="8"/>
      <c r="H8" s="8"/>
      <c r="I8" s="21"/>
      <c r="J8" s="16"/>
      <c r="K8" s="16"/>
      <c r="L8" s="16"/>
      <c r="M8" s="1" t="str">
        <f>IF(C8="","",IF(AND(COUNTIF(C6:C15,C8)=1,ISNUMBER(E8),E8&gt;0,ISNUMBER(F8),F8&gt;=0,OR(G8="Nominal anual",G8="Efectiva anual",G8="Mensual"),H8&gt;=1,H8&lt;=60,H8=INT(H8),ISNUMBER(I8),I8&gt;0,J8&gt;=0,K8&gt;=0,L8&gt;=0,L8&lt;=E8),"OK","Revisar datos"))</f>
        <v/>
      </c>
      <c r="N8" s="26" t="str">
        <f t="shared" si="1"/>
        <v/>
      </c>
      <c r="O8" s="27" t="str">
        <f t="shared" si="2"/>
        <v/>
      </c>
      <c r="P8" s="27" t="str">
        <f t="shared" si="3"/>
        <v/>
      </c>
      <c r="Q8" s="27" t="str">
        <f t="shared" si="4"/>
        <v/>
      </c>
      <c r="R8" s="1"/>
      <c r="S8" s="1"/>
      <c r="T8" s="1"/>
      <c r="U8" s="1"/>
      <c r="V8" s="1"/>
    </row>
    <row r="9" ht="24.75" customHeight="1">
      <c r="A9" s="1"/>
      <c r="B9" s="1"/>
      <c r="C9" s="8"/>
      <c r="D9" s="8"/>
      <c r="E9" s="16"/>
      <c r="F9" s="17"/>
      <c r="G9" s="8"/>
      <c r="H9" s="8"/>
      <c r="I9" s="21"/>
      <c r="J9" s="16"/>
      <c r="K9" s="16"/>
      <c r="L9" s="16"/>
      <c r="M9" s="1" t="str">
        <f>IF(C9="","",IF(AND(COUNTIF(C6:C15,C9)=1,ISNUMBER(E9),E9&gt;0,ISNUMBER(F9),F9&gt;=0,OR(G9="Nominal anual",G9="Efectiva anual",G9="Mensual"),H9&gt;=1,H9&lt;=60,H9=INT(H9),ISNUMBER(I9),I9&gt;0,J9&gt;=0,K9&gt;=0,L9&gt;=0,L9&lt;=E9),"OK","Revisar datos"))</f>
        <v/>
      </c>
      <c r="N9" s="26" t="str">
        <f t="shared" si="1"/>
        <v/>
      </c>
      <c r="O9" s="27" t="str">
        <f t="shared" si="2"/>
        <v/>
      </c>
      <c r="P9" s="27" t="str">
        <f t="shared" si="3"/>
        <v/>
      </c>
      <c r="Q9" s="27" t="str">
        <f t="shared" si="4"/>
        <v/>
      </c>
      <c r="R9" s="1"/>
      <c r="S9" s="1"/>
      <c r="T9" s="1"/>
      <c r="U9" s="1"/>
      <c r="V9" s="1"/>
    </row>
    <row r="10" ht="24.75" customHeight="1">
      <c r="A10" s="1"/>
      <c r="B10" s="1"/>
      <c r="C10" s="8"/>
      <c r="D10" s="8"/>
      <c r="E10" s="16"/>
      <c r="F10" s="17"/>
      <c r="G10" s="8"/>
      <c r="H10" s="8"/>
      <c r="I10" s="21"/>
      <c r="J10" s="16"/>
      <c r="K10" s="16"/>
      <c r="L10" s="16"/>
      <c r="M10" s="1" t="str">
        <f>IF(C10="","",IF(AND(COUNTIF(C6:C15,C10)=1,ISNUMBER(E10),E10&gt;0,ISNUMBER(F10),F10&gt;=0,OR(G10="Nominal anual",G10="Efectiva anual",G10="Mensual"),H10&gt;=1,H10&lt;=60,H10=INT(H10),ISNUMBER(I10),I10&gt;0,J10&gt;=0,K10&gt;=0,L10&gt;=0,L10&lt;=E10),"OK","Revisar datos"))</f>
        <v/>
      </c>
      <c r="N10" s="26" t="str">
        <f t="shared" si="1"/>
        <v/>
      </c>
      <c r="O10" s="27" t="str">
        <f t="shared" si="2"/>
        <v/>
      </c>
      <c r="P10" s="27" t="str">
        <f t="shared" si="3"/>
        <v/>
      </c>
      <c r="Q10" s="27" t="str">
        <f t="shared" si="4"/>
        <v/>
      </c>
      <c r="R10" s="1"/>
      <c r="S10" s="1"/>
      <c r="T10" s="1"/>
      <c r="U10" s="1"/>
      <c r="V10" s="1"/>
    </row>
    <row r="11" ht="24.75" customHeight="1">
      <c r="A11" s="1"/>
      <c r="B11" s="1"/>
      <c r="C11" s="8"/>
      <c r="D11" s="8"/>
      <c r="E11" s="16"/>
      <c r="F11" s="17"/>
      <c r="G11" s="8"/>
      <c r="H11" s="8"/>
      <c r="I11" s="21"/>
      <c r="J11" s="16"/>
      <c r="K11" s="16"/>
      <c r="L11" s="16"/>
      <c r="M11" s="1" t="str">
        <f>IF(C11="","",IF(AND(COUNTIF(C6:C15,C11)=1,ISNUMBER(E11),E11&gt;0,ISNUMBER(F11),F11&gt;=0,OR(G11="Nominal anual",G11="Efectiva anual",G11="Mensual"),H11&gt;=1,H11&lt;=60,H11=INT(H11),ISNUMBER(I11),I11&gt;0,J11&gt;=0,K11&gt;=0,L11&gt;=0,L11&lt;=E11),"OK","Revisar datos"))</f>
        <v/>
      </c>
      <c r="N11" s="26" t="str">
        <f t="shared" si="1"/>
        <v/>
      </c>
      <c r="O11" s="27" t="str">
        <f t="shared" si="2"/>
        <v/>
      </c>
      <c r="P11" s="27" t="str">
        <f t="shared" si="3"/>
        <v/>
      </c>
      <c r="Q11" s="27" t="str">
        <f t="shared" si="4"/>
        <v/>
      </c>
      <c r="R11" s="1"/>
      <c r="S11" s="1"/>
      <c r="T11" s="1"/>
      <c r="U11" s="1"/>
      <c r="V11" s="1"/>
    </row>
    <row r="12" ht="24.75" customHeight="1">
      <c r="A12" s="1"/>
      <c r="B12" s="1"/>
      <c r="C12" s="8"/>
      <c r="D12" s="8"/>
      <c r="E12" s="16"/>
      <c r="F12" s="17"/>
      <c r="G12" s="8"/>
      <c r="H12" s="8"/>
      <c r="I12" s="21"/>
      <c r="J12" s="16"/>
      <c r="K12" s="16"/>
      <c r="L12" s="16"/>
      <c r="M12" s="1" t="str">
        <f>IF(C12="","",IF(AND(COUNTIF(C6:C15,C12)=1,ISNUMBER(E12),E12&gt;0,ISNUMBER(F12),F12&gt;=0,OR(G12="Nominal anual",G12="Efectiva anual",G12="Mensual"),H12&gt;=1,H12&lt;=60,H12=INT(H12),ISNUMBER(I12),I12&gt;0,J12&gt;=0,K12&gt;=0,L12&gt;=0,L12&lt;=E12),"OK","Revisar datos"))</f>
        <v/>
      </c>
      <c r="N12" s="26" t="str">
        <f t="shared" si="1"/>
        <v/>
      </c>
      <c r="O12" s="27" t="str">
        <f t="shared" si="2"/>
        <v/>
      </c>
      <c r="P12" s="27" t="str">
        <f t="shared" si="3"/>
        <v/>
      </c>
      <c r="Q12" s="27" t="str">
        <f t="shared" si="4"/>
        <v/>
      </c>
      <c r="R12" s="1"/>
      <c r="S12" s="1"/>
      <c r="T12" s="1"/>
      <c r="U12" s="1"/>
      <c r="V12" s="1"/>
    </row>
    <row r="13" ht="24.75" customHeight="1">
      <c r="A13" s="1"/>
      <c r="B13" s="1"/>
      <c r="C13" s="8"/>
      <c r="D13" s="8"/>
      <c r="E13" s="16"/>
      <c r="F13" s="17"/>
      <c r="G13" s="8"/>
      <c r="H13" s="8"/>
      <c r="I13" s="21"/>
      <c r="J13" s="16"/>
      <c r="K13" s="16"/>
      <c r="L13" s="16"/>
      <c r="M13" s="1" t="str">
        <f>IF(C13="","",IF(AND(COUNTIF(C6:C15,C13)=1,ISNUMBER(E13),E13&gt;0,ISNUMBER(F13),F13&gt;=0,OR(G13="Nominal anual",G13="Efectiva anual",G13="Mensual"),H13&gt;=1,H13&lt;=60,H13=INT(H13),ISNUMBER(I13),I13&gt;0,J13&gt;=0,K13&gt;=0,L13&gt;=0,L13&lt;=E13),"OK","Revisar datos"))</f>
        <v/>
      </c>
      <c r="N13" s="26" t="str">
        <f t="shared" si="1"/>
        <v/>
      </c>
      <c r="O13" s="27" t="str">
        <f t="shared" si="2"/>
        <v/>
      </c>
      <c r="P13" s="27" t="str">
        <f t="shared" si="3"/>
        <v/>
      </c>
      <c r="Q13" s="27" t="str">
        <f t="shared" si="4"/>
        <v/>
      </c>
      <c r="R13" s="1"/>
      <c r="S13" s="1"/>
      <c r="T13" s="1"/>
      <c r="U13" s="1"/>
      <c r="V13" s="1"/>
    </row>
    <row r="14" ht="24.75" customHeight="1">
      <c r="A14" s="1"/>
      <c r="B14" s="1"/>
      <c r="C14" s="8"/>
      <c r="D14" s="8"/>
      <c r="E14" s="16"/>
      <c r="F14" s="17"/>
      <c r="G14" s="8"/>
      <c r="H14" s="8"/>
      <c r="I14" s="21"/>
      <c r="J14" s="16"/>
      <c r="K14" s="16"/>
      <c r="L14" s="16"/>
      <c r="M14" s="1" t="str">
        <f>IF(C14="","",IF(AND(COUNTIF(C6:C15,C14)=1,ISNUMBER(E14),E14&gt;0,ISNUMBER(F14),F14&gt;=0,OR(G14="Nominal anual",G14="Efectiva anual",G14="Mensual"),H14&gt;=1,H14&lt;=60,H14=INT(H14),ISNUMBER(I14),I14&gt;0,J14&gt;=0,K14&gt;=0,L14&gt;=0,L14&lt;=E14),"OK","Revisar datos"))</f>
        <v/>
      </c>
      <c r="N14" s="26" t="str">
        <f t="shared" si="1"/>
        <v/>
      </c>
      <c r="O14" s="27" t="str">
        <f t="shared" si="2"/>
        <v/>
      </c>
      <c r="P14" s="27" t="str">
        <f t="shared" si="3"/>
        <v/>
      </c>
      <c r="Q14" s="27" t="str">
        <f t="shared" si="4"/>
        <v/>
      </c>
      <c r="R14" s="1"/>
      <c r="S14" s="1"/>
      <c r="T14" s="1"/>
      <c r="U14" s="1"/>
      <c r="V14" s="1"/>
    </row>
    <row r="15" ht="24.75" customHeight="1">
      <c r="A15" s="1"/>
      <c r="B15" s="1"/>
      <c r="C15" s="8"/>
      <c r="D15" s="8"/>
      <c r="E15" s="16"/>
      <c r="F15" s="17"/>
      <c r="G15" s="8"/>
      <c r="H15" s="8"/>
      <c r="I15" s="21"/>
      <c r="J15" s="16"/>
      <c r="K15" s="16"/>
      <c r="L15" s="16"/>
      <c r="M15" s="1" t="str">
        <f>IF(C15="","",IF(AND(COUNTIF(C6:C15,C15)=1,ISNUMBER(E15),E15&gt;0,ISNUMBER(F15),F15&gt;=0,OR(G15="Nominal anual",G15="Efectiva anual",G15="Mensual"),H15&gt;=1,H15&lt;=60,H15=INT(H15),ISNUMBER(I15),I15&gt;0,J15&gt;=0,K15&gt;=0,L15&gt;=0,L15&lt;=E15),"OK","Revisar datos"))</f>
        <v/>
      </c>
      <c r="N15" s="26" t="str">
        <f t="shared" si="1"/>
        <v/>
      </c>
      <c r="O15" s="27" t="str">
        <f t="shared" si="2"/>
        <v/>
      </c>
      <c r="P15" s="27" t="str">
        <f t="shared" si="3"/>
        <v/>
      </c>
      <c r="Q15" s="27" t="str">
        <f t="shared" si="4"/>
        <v/>
      </c>
      <c r="R15" s="1"/>
      <c r="S15" s="1"/>
      <c r="T15" s="1"/>
      <c r="U15" s="1"/>
      <c r="V15" s="1"/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M6:M15">
    <cfRule type="containsText" dxfId="0" priority="1" stopIfTrue="1" operator="containsText" text="Revisar">
      <formula>NOT(ISERROR(SEARCH(("Revisar"),(M6))))</formula>
    </cfRule>
  </conditionalFormatting>
  <dataValidations>
    <dataValidation type="decimal" operator="greaterThanOrEqual" allowBlank="1" showErrorMessage="1" sqref="F6:F15 J6:L15">
      <formula1>0.0</formula1>
    </dataValidation>
    <dataValidation type="list" allowBlank="1" sqref="G6:G15">
      <formula1>"Nominal anual,Efectiva anual,Mensual"</formula1>
    </dataValidation>
    <dataValidation type="decimal" operator="greaterThan" allowBlank="1" showErrorMessage="1" sqref="E6:E15">
      <formula1>0.0</formula1>
    </dataValidation>
    <dataValidation type="decimal" allowBlank="1" showErrorMessage="1" sqref="H6:H15">
      <formula1>1.0</formula1>
      <formula2>60.0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20" width="19.0"/>
    <col customWidth="1" min="21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53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6" t="s">
        <v>7</v>
      </c>
      <c r="D5" s="6" t="s">
        <v>55</v>
      </c>
      <c r="E5" s="6" t="s">
        <v>56</v>
      </c>
      <c r="F5" s="6" t="s">
        <v>57</v>
      </c>
      <c r="G5" s="6" t="s">
        <v>21</v>
      </c>
      <c r="H5" s="6" t="s">
        <v>59</v>
      </c>
      <c r="I5" s="6" t="s">
        <v>22</v>
      </c>
      <c r="J5" s="6" t="s">
        <v>61</v>
      </c>
      <c r="K5" s="6" t="s">
        <v>63</v>
      </c>
      <c r="L5" s="6" t="s">
        <v>64</v>
      </c>
      <c r="M5" s="6" t="s">
        <v>65</v>
      </c>
      <c r="N5" s="6" t="s">
        <v>50</v>
      </c>
      <c r="O5" s="6" t="s">
        <v>66</v>
      </c>
      <c r="P5" s="6" t="s">
        <v>67</v>
      </c>
      <c r="Q5" s="6" t="s">
        <v>68</v>
      </c>
      <c r="R5" s="6" t="s">
        <v>51</v>
      </c>
      <c r="S5" s="6" t="s">
        <v>69</v>
      </c>
      <c r="T5" s="6" t="s">
        <v>70</v>
      </c>
      <c r="U5" s="1"/>
      <c r="V5" s="1"/>
    </row>
    <row r="6" ht="25.5" customHeight="1">
      <c r="A6" s="1"/>
      <c r="B6" s="1"/>
      <c r="C6" s="33" t="str">
        <f>IF(AND(Creditos!$C$6&lt;&gt;"",Creditos!$M$6="OK",1&lt;=Creditos!$H$6),Creditos!$C$6,"")</f>
        <v>CR001</v>
      </c>
      <c r="D6" s="33">
        <f>IF(AND(Creditos!$C$6&lt;&gt;"",Creditos!$M$6="OK",1&lt;=Creditos!$H$6),1,"")</f>
        <v>1</v>
      </c>
      <c r="E6" s="35">
        <f>IF(AND(Creditos!$C$6&lt;&gt;"",Creditos!$M$6="OK",1&lt;=Creditos!$H$6),EDATE(Creditos!$I$6,0),"")</f>
        <v>46327</v>
      </c>
      <c r="F6" s="36">
        <f>IF(AND(Creditos!$C$6&lt;&gt;"",Creditos!$M$6="OK",1&lt;=Creditos!$H$6),Creditos!$E$6,"")</f>
        <v>1200000</v>
      </c>
      <c r="G6" s="37">
        <f>IF(AND(Creditos!$C$6&lt;&gt;"",Creditos!$M$6="OK",1&lt;=Creditos!$H$6),Creditos!$N$6,"")</f>
        <v>0.01</v>
      </c>
      <c r="H6" s="36">
        <f>IF(AND(Creditos!$C$6&lt;&gt;"",Creditos!$M$6="OK",1&lt;=Creditos!$H$6),ROUND(F6*G6,2),"")</f>
        <v>12000</v>
      </c>
      <c r="I6" s="36">
        <f>IF(AND(Creditos!$C$6&lt;&gt;"",Creditos!$M$6="OK",1&lt;=Creditos!$H$6),IF(1=Creditos!$H$6,F6+H6,MIN(Creditos!$O$6,F6+H6)),"")</f>
        <v>106618.55</v>
      </c>
      <c r="J6" s="36">
        <f>IF(AND(Creditos!$C$6&lt;&gt;"",Creditos!$M$6="OK",1&lt;=Creditos!$H$6),MIN(F6,MAX(0,I6-H6)),"")</f>
        <v>94618.55</v>
      </c>
      <c r="K6" s="36">
        <f>IF(AND(Creditos!$C$6&lt;&gt;"",Creditos!$M$6="OK",1&lt;=Creditos!$H$6),Creditos!$J$6+Creditos!$K$6,"")</f>
        <v>2500</v>
      </c>
      <c r="L6" s="36">
        <f>IF(AND(Creditos!$C$6&lt;&gt;"",Creditos!$M$6="OK",1&lt;=Creditos!$H$6),I6+K6,"")</f>
        <v>109118.55</v>
      </c>
      <c r="M6" s="36">
        <f>IF(AND(Creditos!$C$6&lt;&gt;"",Creditos!$M$6="OK",1&lt;=Creditos!$H$6),MAX(0,F6-J6),"")</f>
        <v>1105381.45</v>
      </c>
      <c r="N6" s="36">
        <f>IF(AND(Creditos!$C$6&lt;&gt;"",Creditos!$M$6="OK",1&lt;=Creditos!$H$6),SUMIFS(Pagos!$F$6:$F$305,Pagos!$C$6:$C$305,C6,Pagos!$D$6:$D$305,D6,Pagos!$E$6:$E$305,"&lt;="&amp;Supuestos!$D$6,Pagos!$H$6:$H$305,"OK"),"")</f>
        <v>0</v>
      </c>
      <c r="O6" s="36">
        <f>IF(AND(Creditos!$C$6&lt;&gt;"",Creditos!$M$6="OK",1&lt;=Creditos!$H$6),MIN(J6,MAX(0,N6-K6-H6)),"")</f>
        <v>0</v>
      </c>
      <c r="P6" s="36">
        <f>IF(AND(Creditos!$C$6&lt;&gt;"",Creditos!$M$6="OK",1&lt;=Creditos!$H$6),MAX(0,L6-N6),"")</f>
        <v>109118.55</v>
      </c>
      <c r="Q6" s="39">
        <f>IF(AND(Creditos!$C$6&lt;&gt;"",Creditos!$M$6="OK",1&lt;=Creditos!$H$6),IF(AND(E6&lt;Supuestos!$D$6,P6&gt;0.005),Supuestos!$D$6-E6,0),"")</f>
        <v>0</v>
      </c>
      <c r="R6" s="36">
        <f>IF(AND(Creditos!$C$6&lt;&gt;"",Creditos!$M$6="OK",1&lt;=Creditos!$H$6),MAX(0,N6-L6),"")</f>
        <v>0</v>
      </c>
      <c r="S6" s="33" t="str">
        <f>IF(AND(Creditos!$C$6&lt;&gt;"",Creditos!$M$6="OK",1&lt;=Creditos!$H$6),IF(R6&gt;0.005,"Exceso sin imputar",IF(P6&lt;=0.005,"Pagada",IF(E6&lt;Supuestos!$D$6,"Vencida",IF(E6=Supuestos!$D$6,"Vence hoy","Por vencer")))),"")</f>
        <v>Por vencer</v>
      </c>
      <c r="T6" s="35">
        <f>IF(AND(Creditos!$C$6&lt;&gt;"",Creditos!$M$6="OK",1&lt;=Creditos!$H$6),IF(P6&gt;0.005,E6,999999),999999)</f>
        <v>46327</v>
      </c>
      <c r="U6" s="1"/>
      <c r="V6" s="1"/>
    </row>
    <row r="7" ht="25.5" customHeight="1">
      <c r="A7" s="1"/>
      <c r="B7" s="1"/>
      <c r="C7" s="33" t="str">
        <f>IF(AND(Creditos!$C$6&lt;&gt;"",Creditos!$M$6="OK",2&lt;=Creditos!$H$6),Creditos!$C$6,"")</f>
        <v>CR001</v>
      </c>
      <c r="D7" s="33">
        <f>IF(AND(Creditos!$C$6&lt;&gt;"",Creditos!$M$6="OK",2&lt;=Creditos!$H$6),2,"")</f>
        <v>2</v>
      </c>
      <c r="E7" s="35">
        <f>IF(AND(Creditos!$C$6&lt;&gt;"",Creditos!$M$6="OK",2&lt;=Creditos!$H$6),EDATE(Creditos!$I$6,1),"")</f>
        <v>46357</v>
      </c>
      <c r="F7" s="36">
        <f>IF(AND(Creditos!$C$6&lt;&gt;"",Creditos!$M$6="OK",2&lt;=Creditos!$H$6),M6,"")</f>
        <v>1105381.45</v>
      </c>
      <c r="G7" s="37">
        <f>IF(AND(Creditos!$C$6&lt;&gt;"",Creditos!$M$6="OK",2&lt;=Creditos!$H$6),Creditos!$N$6,"")</f>
        <v>0.01</v>
      </c>
      <c r="H7" s="36">
        <f>IF(AND(Creditos!$C$6&lt;&gt;"",Creditos!$M$6="OK",2&lt;=Creditos!$H$6),ROUND(F7*G7,2),"")</f>
        <v>11053.81</v>
      </c>
      <c r="I7" s="36">
        <f>IF(AND(Creditos!$C$6&lt;&gt;"",Creditos!$M$6="OK",2&lt;=Creditos!$H$6),IF(2=Creditos!$H$6,F7+H7,MIN(Creditos!$O$6,F7+H7)),"")</f>
        <v>106618.55</v>
      </c>
      <c r="J7" s="36">
        <f>IF(AND(Creditos!$C$6&lt;&gt;"",Creditos!$M$6="OK",2&lt;=Creditos!$H$6),MIN(F7,MAX(0,I7-H7)),"")</f>
        <v>95564.74</v>
      </c>
      <c r="K7" s="36">
        <f>IF(AND(Creditos!$C$6&lt;&gt;"",Creditos!$M$6="OK",2&lt;=Creditos!$H$6),Creditos!$J$6+Creditos!$K$6,"")</f>
        <v>2500</v>
      </c>
      <c r="L7" s="36">
        <f>IF(AND(Creditos!$C$6&lt;&gt;"",Creditos!$M$6="OK",2&lt;=Creditos!$H$6),I7+K7,"")</f>
        <v>109118.55</v>
      </c>
      <c r="M7" s="36">
        <f>IF(AND(Creditos!$C$6&lt;&gt;"",Creditos!$M$6="OK",2&lt;=Creditos!$H$6),MAX(0,F7-J7),"")</f>
        <v>1009816.71</v>
      </c>
      <c r="N7" s="36">
        <f>IF(AND(Creditos!$C$6&lt;&gt;"",Creditos!$M$6="OK",2&lt;=Creditos!$H$6),SUMIFS(Pagos!$F$6:$F$305,Pagos!$C$6:$C$305,C7,Pagos!$D$6:$D$305,D7,Pagos!$E$6:$E$305,"&lt;="&amp;Supuestos!$D$6,Pagos!$H$6:$H$305,"OK"),"")</f>
        <v>0</v>
      </c>
      <c r="O7" s="36">
        <f>IF(AND(Creditos!$C$6&lt;&gt;"",Creditos!$M$6="OK",2&lt;=Creditos!$H$6),MIN(J7,MAX(0,N7-K7-H7)),"")</f>
        <v>0</v>
      </c>
      <c r="P7" s="36">
        <f>IF(AND(Creditos!$C$6&lt;&gt;"",Creditos!$M$6="OK",2&lt;=Creditos!$H$6),MAX(0,L7-N7),"")</f>
        <v>109118.55</v>
      </c>
      <c r="Q7" s="39">
        <f>IF(AND(Creditos!$C$6&lt;&gt;"",Creditos!$M$6="OK",2&lt;=Creditos!$H$6),IF(AND(E7&lt;Supuestos!$D$6,P7&gt;0.005),Supuestos!$D$6-E7,0),"")</f>
        <v>0</v>
      </c>
      <c r="R7" s="36">
        <f>IF(AND(Creditos!$C$6&lt;&gt;"",Creditos!$M$6="OK",2&lt;=Creditos!$H$6),MAX(0,N7-L7),"")</f>
        <v>0</v>
      </c>
      <c r="S7" s="33" t="str">
        <f>IF(AND(Creditos!$C$6&lt;&gt;"",Creditos!$M$6="OK",2&lt;=Creditos!$H$6),IF(R7&gt;0.005,"Exceso sin imputar",IF(P7&lt;=0.005,"Pagada",IF(E7&lt;Supuestos!$D$6,"Vencida",IF(E7=Supuestos!$D$6,"Vence hoy","Por vencer")))),"")</f>
        <v>Por vencer</v>
      </c>
      <c r="T7" s="35">
        <f>IF(AND(Creditos!$C$6&lt;&gt;"",Creditos!$M$6="OK",2&lt;=Creditos!$H$6),IF(P7&gt;0.005,E7,999999),999999)</f>
        <v>46357</v>
      </c>
      <c r="U7" s="1"/>
      <c r="V7" s="1"/>
    </row>
    <row r="8" ht="25.5" customHeight="1">
      <c r="A8" s="1"/>
      <c r="B8" s="1"/>
      <c r="C8" s="33" t="str">
        <f>IF(AND(Creditos!$C$6&lt;&gt;"",Creditos!$M$6="OK",3&lt;=Creditos!$H$6),Creditos!$C$6,"")</f>
        <v>CR001</v>
      </c>
      <c r="D8" s="33">
        <f>IF(AND(Creditos!$C$6&lt;&gt;"",Creditos!$M$6="OK",3&lt;=Creditos!$H$6),3,"")</f>
        <v>3</v>
      </c>
      <c r="E8" s="35">
        <f>IF(AND(Creditos!$C$6&lt;&gt;"",Creditos!$M$6="OK",3&lt;=Creditos!$H$6),EDATE(Creditos!$I$6,2),"")</f>
        <v>46388</v>
      </c>
      <c r="F8" s="36">
        <f>IF(AND(Creditos!$C$6&lt;&gt;"",Creditos!$M$6="OK",3&lt;=Creditos!$H$6),M7,"")</f>
        <v>1009816.71</v>
      </c>
      <c r="G8" s="37">
        <f>IF(AND(Creditos!$C$6&lt;&gt;"",Creditos!$M$6="OK",3&lt;=Creditos!$H$6),Creditos!$N$6,"")</f>
        <v>0.01</v>
      </c>
      <c r="H8" s="36">
        <f>IF(AND(Creditos!$C$6&lt;&gt;"",Creditos!$M$6="OK",3&lt;=Creditos!$H$6),ROUND(F8*G8,2),"")</f>
        <v>10098.17</v>
      </c>
      <c r="I8" s="36">
        <f>IF(AND(Creditos!$C$6&lt;&gt;"",Creditos!$M$6="OK",3&lt;=Creditos!$H$6),IF(3=Creditos!$H$6,F8+H8,MIN(Creditos!$O$6,F8+H8)),"")</f>
        <v>106618.55</v>
      </c>
      <c r="J8" s="36">
        <f>IF(AND(Creditos!$C$6&lt;&gt;"",Creditos!$M$6="OK",3&lt;=Creditos!$H$6),MIN(F8,MAX(0,I8-H8)),"")</f>
        <v>96520.38</v>
      </c>
      <c r="K8" s="36">
        <f>IF(AND(Creditos!$C$6&lt;&gt;"",Creditos!$M$6="OK",3&lt;=Creditos!$H$6),Creditos!$J$6+Creditos!$K$6,"")</f>
        <v>2500</v>
      </c>
      <c r="L8" s="36">
        <f>IF(AND(Creditos!$C$6&lt;&gt;"",Creditos!$M$6="OK",3&lt;=Creditos!$H$6),I8+K8,"")</f>
        <v>109118.55</v>
      </c>
      <c r="M8" s="36">
        <f>IF(AND(Creditos!$C$6&lt;&gt;"",Creditos!$M$6="OK",3&lt;=Creditos!$H$6),MAX(0,F8-J8),"")</f>
        <v>913296.33</v>
      </c>
      <c r="N8" s="36">
        <f>IF(AND(Creditos!$C$6&lt;&gt;"",Creditos!$M$6="OK",3&lt;=Creditos!$H$6),SUMIFS(Pagos!$F$6:$F$305,Pagos!$C$6:$C$305,C8,Pagos!$D$6:$D$305,D8,Pagos!$E$6:$E$305,"&lt;="&amp;Supuestos!$D$6,Pagos!$H$6:$H$305,"OK"),"")</f>
        <v>0</v>
      </c>
      <c r="O8" s="36">
        <f>IF(AND(Creditos!$C$6&lt;&gt;"",Creditos!$M$6="OK",3&lt;=Creditos!$H$6),MIN(J8,MAX(0,N8-K8-H8)),"")</f>
        <v>0</v>
      </c>
      <c r="P8" s="36">
        <f>IF(AND(Creditos!$C$6&lt;&gt;"",Creditos!$M$6="OK",3&lt;=Creditos!$H$6),MAX(0,L8-N8),"")</f>
        <v>109118.55</v>
      </c>
      <c r="Q8" s="39">
        <f>IF(AND(Creditos!$C$6&lt;&gt;"",Creditos!$M$6="OK",3&lt;=Creditos!$H$6),IF(AND(E8&lt;Supuestos!$D$6,P8&gt;0.005),Supuestos!$D$6-E8,0),"")</f>
        <v>0</v>
      </c>
      <c r="R8" s="36">
        <f>IF(AND(Creditos!$C$6&lt;&gt;"",Creditos!$M$6="OK",3&lt;=Creditos!$H$6),MAX(0,N8-L8),"")</f>
        <v>0</v>
      </c>
      <c r="S8" s="33" t="str">
        <f>IF(AND(Creditos!$C$6&lt;&gt;"",Creditos!$M$6="OK",3&lt;=Creditos!$H$6),IF(R8&gt;0.005,"Exceso sin imputar",IF(P8&lt;=0.005,"Pagada",IF(E8&lt;Supuestos!$D$6,"Vencida",IF(E8=Supuestos!$D$6,"Vence hoy","Por vencer")))),"")</f>
        <v>Por vencer</v>
      </c>
      <c r="T8" s="35">
        <f>IF(AND(Creditos!$C$6&lt;&gt;"",Creditos!$M$6="OK",3&lt;=Creditos!$H$6),IF(P8&gt;0.005,E8,999999),999999)</f>
        <v>46388</v>
      </c>
      <c r="U8" s="1"/>
      <c r="V8" s="1"/>
    </row>
    <row r="9" ht="25.5" customHeight="1">
      <c r="A9" s="1"/>
      <c r="B9" s="1"/>
      <c r="C9" s="33" t="str">
        <f>IF(AND(Creditos!$C$6&lt;&gt;"",Creditos!$M$6="OK",4&lt;=Creditos!$H$6),Creditos!$C$6,"")</f>
        <v>CR001</v>
      </c>
      <c r="D9" s="33">
        <f>IF(AND(Creditos!$C$6&lt;&gt;"",Creditos!$M$6="OK",4&lt;=Creditos!$H$6),4,"")</f>
        <v>4</v>
      </c>
      <c r="E9" s="35">
        <f>IF(AND(Creditos!$C$6&lt;&gt;"",Creditos!$M$6="OK",4&lt;=Creditos!$H$6),EDATE(Creditos!$I$6,3),"")</f>
        <v>46419</v>
      </c>
      <c r="F9" s="36">
        <f>IF(AND(Creditos!$C$6&lt;&gt;"",Creditos!$M$6="OK",4&lt;=Creditos!$H$6),M8,"")</f>
        <v>913296.33</v>
      </c>
      <c r="G9" s="37">
        <f>IF(AND(Creditos!$C$6&lt;&gt;"",Creditos!$M$6="OK",4&lt;=Creditos!$H$6),Creditos!$N$6,"")</f>
        <v>0.01</v>
      </c>
      <c r="H9" s="36">
        <f>IF(AND(Creditos!$C$6&lt;&gt;"",Creditos!$M$6="OK",4&lt;=Creditos!$H$6),ROUND(F9*G9,2),"")</f>
        <v>9132.96</v>
      </c>
      <c r="I9" s="36">
        <f>IF(AND(Creditos!$C$6&lt;&gt;"",Creditos!$M$6="OK",4&lt;=Creditos!$H$6),IF(4=Creditos!$H$6,F9+H9,MIN(Creditos!$O$6,F9+H9)),"")</f>
        <v>106618.55</v>
      </c>
      <c r="J9" s="36">
        <f>IF(AND(Creditos!$C$6&lt;&gt;"",Creditos!$M$6="OK",4&lt;=Creditos!$H$6),MIN(F9,MAX(0,I9-H9)),"")</f>
        <v>97485.59</v>
      </c>
      <c r="K9" s="36">
        <f>IF(AND(Creditos!$C$6&lt;&gt;"",Creditos!$M$6="OK",4&lt;=Creditos!$H$6),Creditos!$J$6+Creditos!$K$6,"")</f>
        <v>2500</v>
      </c>
      <c r="L9" s="36">
        <f>IF(AND(Creditos!$C$6&lt;&gt;"",Creditos!$M$6="OK",4&lt;=Creditos!$H$6),I9+K9,"")</f>
        <v>109118.55</v>
      </c>
      <c r="M9" s="36">
        <f>IF(AND(Creditos!$C$6&lt;&gt;"",Creditos!$M$6="OK",4&lt;=Creditos!$H$6),MAX(0,F9-J9),"")</f>
        <v>815810.74</v>
      </c>
      <c r="N9" s="36">
        <f>IF(AND(Creditos!$C$6&lt;&gt;"",Creditos!$M$6="OK",4&lt;=Creditos!$H$6),SUMIFS(Pagos!$F$6:$F$305,Pagos!$C$6:$C$305,C9,Pagos!$D$6:$D$305,D9,Pagos!$E$6:$E$305,"&lt;="&amp;Supuestos!$D$6,Pagos!$H$6:$H$305,"OK"),"")</f>
        <v>0</v>
      </c>
      <c r="O9" s="36">
        <f>IF(AND(Creditos!$C$6&lt;&gt;"",Creditos!$M$6="OK",4&lt;=Creditos!$H$6),MIN(J9,MAX(0,N9-K9-H9)),"")</f>
        <v>0</v>
      </c>
      <c r="P9" s="36">
        <f>IF(AND(Creditos!$C$6&lt;&gt;"",Creditos!$M$6="OK",4&lt;=Creditos!$H$6),MAX(0,L9-N9),"")</f>
        <v>109118.55</v>
      </c>
      <c r="Q9" s="39">
        <f>IF(AND(Creditos!$C$6&lt;&gt;"",Creditos!$M$6="OK",4&lt;=Creditos!$H$6),IF(AND(E9&lt;Supuestos!$D$6,P9&gt;0.005),Supuestos!$D$6-E9,0),"")</f>
        <v>0</v>
      </c>
      <c r="R9" s="36">
        <f>IF(AND(Creditos!$C$6&lt;&gt;"",Creditos!$M$6="OK",4&lt;=Creditos!$H$6),MAX(0,N9-L9),"")</f>
        <v>0</v>
      </c>
      <c r="S9" s="33" t="str">
        <f>IF(AND(Creditos!$C$6&lt;&gt;"",Creditos!$M$6="OK",4&lt;=Creditos!$H$6),IF(R9&gt;0.005,"Exceso sin imputar",IF(P9&lt;=0.005,"Pagada",IF(E9&lt;Supuestos!$D$6,"Vencida",IF(E9=Supuestos!$D$6,"Vence hoy","Por vencer")))),"")</f>
        <v>Por vencer</v>
      </c>
      <c r="T9" s="35">
        <f>IF(AND(Creditos!$C$6&lt;&gt;"",Creditos!$M$6="OK",4&lt;=Creditos!$H$6),IF(P9&gt;0.005,E9,999999),999999)</f>
        <v>46419</v>
      </c>
      <c r="U9" s="1"/>
      <c r="V9" s="1"/>
    </row>
    <row r="10" ht="25.5" customHeight="1">
      <c r="A10" s="1"/>
      <c r="B10" s="1"/>
      <c r="C10" s="33" t="str">
        <f>IF(AND(Creditos!$C$6&lt;&gt;"",Creditos!$M$6="OK",5&lt;=Creditos!$H$6),Creditos!$C$6,"")</f>
        <v>CR001</v>
      </c>
      <c r="D10" s="33">
        <f>IF(AND(Creditos!$C$6&lt;&gt;"",Creditos!$M$6="OK",5&lt;=Creditos!$H$6),5,"")</f>
        <v>5</v>
      </c>
      <c r="E10" s="35">
        <f>IF(AND(Creditos!$C$6&lt;&gt;"",Creditos!$M$6="OK",5&lt;=Creditos!$H$6),EDATE(Creditos!$I$6,4),"")</f>
        <v>46447</v>
      </c>
      <c r="F10" s="36">
        <f>IF(AND(Creditos!$C$6&lt;&gt;"",Creditos!$M$6="OK",5&lt;=Creditos!$H$6),M9,"")</f>
        <v>815810.74</v>
      </c>
      <c r="G10" s="37">
        <f>IF(AND(Creditos!$C$6&lt;&gt;"",Creditos!$M$6="OK",5&lt;=Creditos!$H$6),Creditos!$N$6,"")</f>
        <v>0.01</v>
      </c>
      <c r="H10" s="36">
        <f>IF(AND(Creditos!$C$6&lt;&gt;"",Creditos!$M$6="OK",5&lt;=Creditos!$H$6),ROUND(F10*G10,2),"")</f>
        <v>8158.11</v>
      </c>
      <c r="I10" s="36">
        <f>IF(AND(Creditos!$C$6&lt;&gt;"",Creditos!$M$6="OK",5&lt;=Creditos!$H$6),IF(5=Creditos!$H$6,F10+H10,MIN(Creditos!$O$6,F10+H10)),"")</f>
        <v>106618.55</v>
      </c>
      <c r="J10" s="36">
        <f>IF(AND(Creditos!$C$6&lt;&gt;"",Creditos!$M$6="OK",5&lt;=Creditos!$H$6),MIN(F10,MAX(0,I10-H10)),"")</f>
        <v>98460.44</v>
      </c>
      <c r="K10" s="36">
        <f>IF(AND(Creditos!$C$6&lt;&gt;"",Creditos!$M$6="OK",5&lt;=Creditos!$H$6),Creditos!$J$6+Creditos!$K$6,"")</f>
        <v>2500</v>
      </c>
      <c r="L10" s="36">
        <f>IF(AND(Creditos!$C$6&lt;&gt;"",Creditos!$M$6="OK",5&lt;=Creditos!$H$6),I10+K10,"")</f>
        <v>109118.55</v>
      </c>
      <c r="M10" s="36">
        <f>IF(AND(Creditos!$C$6&lt;&gt;"",Creditos!$M$6="OK",5&lt;=Creditos!$H$6),MAX(0,F10-J10),"")</f>
        <v>717350.3</v>
      </c>
      <c r="N10" s="36">
        <f>IF(AND(Creditos!$C$6&lt;&gt;"",Creditos!$M$6="OK",5&lt;=Creditos!$H$6),SUMIFS(Pagos!$F$6:$F$305,Pagos!$C$6:$C$305,C10,Pagos!$D$6:$D$305,D10,Pagos!$E$6:$E$305,"&lt;="&amp;Supuestos!$D$6,Pagos!$H$6:$H$305,"OK"),"")</f>
        <v>0</v>
      </c>
      <c r="O10" s="36">
        <f>IF(AND(Creditos!$C$6&lt;&gt;"",Creditos!$M$6="OK",5&lt;=Creditos!$H$6),MIN(J10,MAX(0,N10-K10-H10)),"")</f>
        <v>0</v>
      </c>
      <c r="P10" s="36">
        <f>IF(AND(Creditos!$C$6&lt;&gt;"",Creditos!$M$6="OK",5&lt;=Creditos!$H$6),MAX(0,L10-N10),"")</f>
        <v>109118.55</v>
      </c>
      <c r="Q10" s="39">
        <f>IF(AND(Creditos!$C$6&lt;&gt;"",Creditos!$M$6="OK",5&lt;=Creditos!$H$6),IF(AND(E10&lt;Supuestos!$D$6,P10&gt;0.005),Supuestos!$D$6-E10,0),"")</f>
        <v>0</v>
      </c>
      <c r="R10" s="36">
        <f>IF(AND(Creditos!$C$6&lt;&gt;"",Creditos!$M$6="OK",5&lt;=Creditos!$H$6),MAX(0,N10-L10),"")</f>
        <v>0</v>
      </c>
      <c r="S10" s="33" t="str">
        <f>IF(AND(Creditos!$C$6&lt;&gt;"",Creditos!$M$6="OK",5&lt;=Creditos!$H$6),IF(R10&gt;0.005,"Exceso sin imputar",IF(P10&lt;=0.005,"Pagada",IF(E10&lt;Supuestos!$D$6,"Vencida",IF(E10=Supuestos!$D$6,"Vence hoy","Por vencer")))),"")</f>
        <v>Por vencer</v>
      </c>
      <c r="T10" s="35">
        <f>IF(AND(Creditos!$C$6&lt;&gt;"",Creditos!$M$6="OK",5&lt;=Creditos!$H$6),IF(P10&gt;0.005,E10,999999),999999)</f>
        <v>46447</v>
      </c>
      <c r="U10" s="1"/>
      <c r="V10" s="1"/>
    </row>
    <row r="11" ht="25.5" customHeight="1">
      <c r="A11" s="1"/>
      <c r="B11" s="1"/>
      <c r="C11" s="33" t="str">
        <f>IF(AND(Creditos!$C$6&lt;&gt;"",Creditos!$M$6="OK",6&lt;=Creditos!$H$6),Creditos!$C$6,"")</f>
        <v>CR001</v>
      </c>
      <c r="D11" s="33">
        <f>IF(AND(Creditos!$C$6&lt;&gt;"",Creditos!$M$6="OK",6&lt;=Creditos!$H$6),6,"")</f>
        <v>6</v>
      </c>
      <c r="E11" s="35">
        <f>IF(AND(Creditos!$C$6&lt;&gt;"",Creditos!$M$6="OK",6&lt;=Creditos!$H$6),EDATE(Creditos!$I$6,5),"")</f>
        <v>46478</v>
      </c>
      <c r="F11" s="36">
        <f>IF(AND(Creditos!$C$6&lt;&gt;"",Creditos!$M$6="OK",6&lt;=Creditos!$H$6),M10,"")</f>
        <v>717350.3</v>
      </c>
      <c r="G11" s="37">
        <f>IF(AND(Creditos!$C$6&lt;&gt;"",Creditos!$M$6="OK",6&lt;=Creditos!$H$6),Creditos!$N$6,"")</f>
        <v>0.01</v>
      </c>
      <c r="H11" s="36">
        <f>IF(AND(Creditos!$C$6&lt;&gt;"",Creditos!$M$6="OK",6&lt;=Creditos!$H$6),ROUND(F11*G11,2),"")</f>
        <v>7173.5</v>
      </c>
      <c r="I11" s="36">
        <f>IF(AND(Creditos!$C$6&lt;&gt;"",Creditos!$M$6="OK",6&lt;=Creditos!$H$6),IF(6=Creditos!$H$6,F11+H11,MIN(Creditos!$O$6,F11+H11)),"")</f>
        <v>106618.55</v>
      </c>
      <c r="J11" s="36">
        <f>IF(AND(Creditos!$C$6&lt;&gt;"",Creditos!$M$6="OK",6&lt;=Creditos!$H$6),MIN(F11,MAX(0,I11-H11)),"")</f>
        <v>99445.05</v>
      </c>
      <c r="K11" s="36">
        <f>IF(AND(Creditos!$C$6&lt;&gt;"",Creditos!$M$6="OK",6&lt;=Creditos!$H$6),Creditos!$J$6+Creditos!$K$6,"")</f>
        <v>2500</v>
      </c>
      <c r="L11" s="36">
        <f>IF(AND(Creditos!$C$6&lt;&gt;"",Creditos!$M$6="OK",6&lt;=Creditos!$H$6),I11+K11,"")</f>
        <v>109118.55</v>
      </c>
      <c r="M11" s="36">
        <f>IF(AND(Creditos!$C$6&lt;&gt;"",Creditos!$M$6="OK",6&lt;=Creditos!$H$6),MAX(0,F11-J11),"")</f>
        <v>617905.25</v>
      </c>
      <c r="N11" s="36">
        <f>IF(AND(Creditos!$C$6&lt;&gt;"",Creditos!$M$6="OK",6&lt;=Creditos!$H$6),SUMIFS(Pagos!$F$6:$F$305,Pagos!$C$6:$C$305,C11,Pagos!$D$6:$D$305,D11,Pagos!$E$6:$E$305,"&lt;="&amp;Supuestos!$D$6,Pagos!$H$6:$H$305,"OK"),"")</f>
        <v>0</v>
      </c>
      <c r="O11" s="36">
        <f>IF(AND(Creditos!$C$6&lt;&gt;"",Creditos!$M$6="OK",6&lt;=Creditos!$H$6),MIN(J11,MAX(0,N11-K11-H11)),"")</f>
        <v>0</v>
      </c>
      <c r="P11" s="36">
        <f>IF(AND(Creditos!$C$6&lt;&gt;"",Creditos!$M$6="OK",6&lt;=Creditos!$H$6),MAX(0,L11-N11),"")</f>
        <v>109118.55</v>
      </c>
      <c r="Q11" s="39">
        <f>IF(AND(Creditos!$C$6&lt;&gt;"",Creditos!$M$6="OK",6&lt;=Creditos!$H$6),IF(AND(E11&lt;Supuestos!$D$6,P11&gt;0.005),Supuestos!$D$6-E11,0),"")</f>
        <v>0</v>
      </c>
      <c r="R11" s="36">
        <f>IF(AND(Creditos!$C$6&lt;&gt;"",Creditos!$M$6="OK",6&lt;=Creditos!$H$6),MAX(0,N11-L11),"")</f>
        <v>0</v>
      </c>
      <c r="S11" s="33" t="str">
        <f>IF(AND(Creditos!$C$6&lt;&gt;"",Creditos!$M$6="OK",6&lt;=Creditos!$H$6),IF(R11&gt;0.005,"Exceso sin imputar",IF(P11&lt;=0.005,"Pagada",IF(E11&lt;Supuestos!$D$6,"Vencida",IF(E11=Supuestos!$D$6,"Vence hoy","Por vencer")))),"")</f>
        <v>Por vencer</v>
      </c>
      <c r="T11" s="35">
        <f>IF(AND(Creditos!$C$6&lt;&gt;"",Creditos!$M$6="OK",6&lt;=Creditos!$H$6),IF(P11&gt;0.005,E11,999999),999999)</f>
        <v>46478</v>
      </c>
      <c r="U11" s="1"/>
      <c r="V11" s="1"/>
    </row>
    <row r="12" ht="25.5" customHeight="1">
      <c r="A12" s="1"/>
      <c r="B12" s="1"/>
      <c r="C12" s="33" t="str">
        <f>IF(AND(Creditos!$C$6&lt;&gt;"",Creditos!$M$6="OK",7&lt;=Creditos!$H$6),Creditos!$C$6,"")</f>
        <v>CR001</v>
      </c>
      <c r="D12" s="33">
        <f>IF(AND(Creditos!$C$6&lt;&gt;"",Creditos!$M$6="OK",7&lt;=Creditos!$H$6),7,"")</f>
        <v>7</v>
      </c>
      <c r="E12" s="35">
        <f>IF(AND(Creditos!$C$6&lt;&gt;"",Creditos!$M$6="OK",7&lt;=Creditos!$H$6),EDATE(Creditos!$I$6,6),"")</f>
        <v>46508</v>
      </c>
      <c r="F12" s="36">
        <f>IF(AND(Creditos!$C$6&lt;&gt;"",Creditos!$M$6="OK",7&lt;=Creditos!$H$6),M11,"")</f>
        <v>617905.25</v>
      </c>
      <c r="G12" s="37">
        <f>IF(AND(Creditos!$C$6&lt;&gt;"",Creditos!$M$6="OK",7&lt;=Creditos!$H$6),Creditos!$N$6,"")</f>
        <v>0.01</v>
      </c>
      <c r="H12" s="36">
        <f>IF(AND(Creditos!$C$6&lt;&gt;"",Creditos!$M$6="OK",7&lt;=Creditos!$H$6),ROUND(F12*G12,2),"")</f>
        <v>6179.05</v>
      </c>
      <c r="I12" s="36">
        <f>IF(AND(Creditos!$C$6&lt;&gt;"",Creditos!$M$6="OK",7&lt;=Creditos!$H$6),IF(7=Creditos!$H$6,F12+H12,MIN(Creditos!$O$6,F12+H12)),"")</f>
        <v>106618.55</v>
      </c>
      <c r="J12" s="36">
        <f>IF(AND(Creditos!$C$6&lt;&gt;"",Creditos!$M$6="OK",7&lt;=Creditos!$H$6),MIN(F12,MAX(0,I12-H12)),"")</f>
        <v>100439.5</v>
      </c>
      <c r="K12" s="36">
        <f>IF(AND(Creditos!$C$6&lt;&gt;"",Creditos!$M$6="OK",7&lt;=Creditos!$H$6),Creditos!$J$6+Creditos!$K$6,"")</f>
        <v>2500</v>
      </c>
      <c r="L12" s="36">
        <f>IF(AND(Creditos!$C$6&lt;&gt;"",Creditos!$M$6="OK",7&lt;=Creditos!$H$6),I12+K12,"")</f>
        <v>109118.55</v>
      </c>
      <c r="M12" s="36">
        <f>IF(AND(Creditos!$C$6&lt;&gt;"",Creditos!$M$6="OK",7&lt;=Creditos!$H$6),MAX(0,F12-J12),"")</f>
        <v>517465.75</v>
      </c>
      <c r="N12" s="36">
        <f>IF(AND(Creditos!$C$6&lt;&gt;"",Creditos!$M$6="OK",7&lt;=Creditos!$H$6),SUMIFS(Pagos!$F$6:$F$305,Pagos!$C$6:$C$305,C12,Pagos!$D$6:$D$305,D12,Pagos!$E$6:$E$305,"&lt;="&amp;Supuestos!$D$6,Pagos!$H$6:$H$305,"OK"),"")</f>
        <v>0</v>
      </c>
      <c r="O12" s="36">
        <f>IF(AND(Creditos!$C$6&lt;&gt;"",Creditos!$M$6="OK",7&lt;=Creditos!$H$6),MIN(J12,MAX(0,N12-K12-H12)),"")</f>
        <v>0</v>
      </c>
      <c r="P12" s="36">
        <f>IF(AND(Creditos!$C$6&lt;&gt;"",Creditos!$M$6="OK",7&lt;=Creditos!$H$6),MAX(0,L12-N12),"")</f>
        <v>109118.55</v>
      </c>
      <c r="Q12" s="39">
        <f>IF(AND(Creditos!$C$6&lt;&gt;"",Creditos!$M$6="OK",7&lt;=Creditos!$H$6),IF(AND(E12&lt;Supuestos!$D$6,P12&gt;0.005),Supuestos!$D$6-E12,0),"")</f>
        <v>0</v>
      </c>
      <c r="R12" s="36">
        <f>IF(AND(Creditos!$C$6&lt;&gt;"",Creditos!$M$6="OK",7&lt;=Creditos!$H$6),MAX(0,N12-L12),"")</f>
        <v>0</v>
      </c>
      <c r="S12" s="33" t="str">
        <f>IF(AND(Creditos!$C$6&lt;&gt;"",Creditos!$M$6="OK",7&lt;=Creditos!$H$6),IF(R12&gt;0.005,"Exceso sin imputar",IF(P12&lt;=0.005,"Pagada",IF(E12&lt;Supuestos!$D$6,"Vencida",IF(E12=Supuestos!$D$6,"Vence hoy","Por vencer")))),"")</f>
        <v>Por vencer</v>
      </c>
      <c r="T12" s="35">
        <f>IF(AND(Creditos!$C$6&lt;&gt;"",Creditos!$M$6="OK",7&lt;=Creditos!$H$6),IF(P12&gt;0.005,E12,999999),999999)</f>
        <v>46508</v>
      </c>
      <c r="U12" s="1"/>
      <c r="V12" s="1"/>
    </row>
    <row r="13" ht="25.5" customHeight="1">
      <c r="A13" s="1"/>
      <c r="B13" s="1"/>
      <c r="C13" s="33" t="str">
        <f>IF(AND(Creditos!$C$6&lt;&gt;"",Creditos!$M$6="OK",8&lt;=Creditos!$H$6),Creditos!$C$6,"")</f>
        <v>CR001</v>
      </c>
      <c r="D13" s="33">
        <f>IF(AND(Creditos!$C$6&lt;&gt;"",Creditos!$M$6="OK",8&lt;=Creditos!$H$6),8,"")</f>
        <v>8</v>
      </c>
      <c r="E13" s="35">
        <f>IF(AND(Creditos!$C$6&lt;&gt;"",Creditos!$M$6="OK",8&lt;=Creditos!$H$6),EDATE(Creditos!$I$6,7),"")</f>
        <v>46539</v>
      </c>
      <c r="F13" s="36">
        <f>IF(AND(Creditos!$C$6&lt;&gt;"",Creditos!$M$6="OK",8&lt;=Creditos!$H$6),M12,"")</f>
        <v>517465.75</v>
      </c>
      <c r="G13" s="37">
        <f>IF(AND(Creditos!$C$6&lt;&gt;"",Creditos!$M$6="OK",8&lt;=Creditos!$H$6),Creditos!$N$6,"")</f>
        <v>0.01</v>
      </c>
      <c r="H13" s="36">
        <f>IF(AND(Creditos!$C$6&lt;&gt;"",Creditos!$M$6="OK",8&lt;=Creditos!$H$6),ROUND(F13*G13,2),"")</f>
        <v>5174.66</v>
      </c>
      <c r="I13" s="36">
        <f>IF(AND(Creditos!$C$6&lt;&gt;"",Creditos!$M$6="OK",8&lt;=Creditos!$H$6),IF(8=Creditos!$H$6,F13+H13,MIN(Creditos!$O$6,F13+H13)),"")</f>
        <v>106618.55</v>
      </c>
      <c r="J13" s="36">
        <f>IF(AND(Creditos!$C$6&lt;&gt;"",Creditos!$M$6="OK",8&lt;=Creditos!$H$6),MIN(F13,MAX(0,I13-H13)),"")</f>
        <v>101443.89</v>
      </c>
      <c r="K13" s="36">
        <f>IF(AND(Creditos!$C$6&lt;&gt;"",Creditos!$M$6="OK",8&lt;=Creditos!$H$6),Creditos!$J$6+Creditos!$K$6,"")</f>
        <v>2500</v>
      </c>
      <c r="L13" s="36">
        <f>IF(AND(Creditos!$C$6&lt;&gt;"",Creditos!$M$6="OK",8&lt;=Creditos!$H$6),I13+K13,"")</f>
        <v>109118.55</v>
      </c>
      <c r="M13" s="36">
        <f>IF(AND(Creditos!$C$6&lt;&gt;"",Creditos!$M$6="OK",8&lt;=Creditos!$H$6),MAX(0,F13-J13),"")</f>
        <v>416021.86</v>
      </c>
      <c r="N13" s="36">
        <f>IF(AND(Creditos!$C$6&lt;&gt;"",Creditos!$M$6="OK",8&lt;=Creditos!$H$6),SUMIFS(Pagos!$F$6:$F$305,Pagos!$C$6:$C$305,C13,Pagos!$D$6:$D$305,D13,Pagos!$E$6:$E$305,"&lt;="&amp;Supuestos!$D$6,Pagos!$H$6:$H$305,"OK"),"")</f>
        <v>0</v>
      </c>
      <c r="O13" s="36">
        <f>IF(AND(Creditos!$C$6&lt;&gt;"",Creditos!$M$6="OK",8&lt;=Creditos!$H$6),MIN(J13,MAX(0,N13-K13-H13)),"")</f>
        <v>0</v>
      </c>
      <c r="P13" s="36">
        <f>IF(AND(Creditos!$C$6&lt;&gt;"",Creditos!$M$6="OK",8&lt;=Creditos!$H$6),MAX(0,L13-N13),"")</f>
        <v>109118.55</v>
      </c>
      <c r="Q13" s="39">
        <f>IF(AND(Creditos!$C$6&lt;&gt;"",Creditos!$M$6="OK",8&lt;=Creditos!$H$6),IF(AND(E13&lt;Supuestos!$D$6,P13&gt;0.005),Supuestos!$D$6-E13,0),"")</f>
        <v>0</v>
      </c>
      <c r="R13" s="36">
        <f>IF(AND(Creditos!$C$6&lt;&gt;"",Creditos!$M$6="OK",8&lt;=Creditos!$H$6),MAX(0,N13-L13),"")</f>
        <v>0</v>
      </c>
      <c r="S13" s="33" t="str">
        <f>IF(AND(Creditos!$C$6&lt;&gt;"",Creditos!$M$6="OK",8&lt;=Creditos!$H$6),IF(R13&gt;0.005,"Exceso sin imputar",IF(P13&lt;=0.005,"Pagada",IF(E13&lt;Supuestos!$D$6,"Vencida",IF(E13=Supuestos!$D$6,"Vence hoy","Por vencer")))),"")</f>
        <v>Por vencer</v>
      </c>
      <c r="T13" s="35">
        <f>IF(AND(Creditos!$C$6&lt;&gt;"",Creditos!$M$6="OK",8&lt;=Creditos!$H$6),IF(P13&gt;0.005,E13,999999),999999)</f>
        <v>46539</v>
      </c>
      <c r="U13" s="1"/>
      <c r="V13" s="1"/>
    </row>
    <row r="14" ht="25.5" customHeight="1">
      <c r="A14" s="1"/>
      <c r="B14" s="1"/>
      <c r="C14" s="33" t="str">
        <f>IF(AND(Creditos!$C$6&lt;&gt;"",Creditos!$M$6="OK",9&lt;=Creditos!$H$6),Creditos!$C$6,"")</f>
        <v>CR001</v>
      </c>
      <c r="D14" s="33">
        <f>IF(AND(Creditos!$C$6&lt;&gt;"",Creditos!$M$6="OK",9&lt;=Creditos!$H$6),9,"")</f>
        <v>9</v>
      </c>
      <c r="E14" s="35">
        <f>IF(AND(Creditos!$C$6&lt;&gt;"",Creditos!$M$6="OK",9&lt;=Creditos!$H$6),EDATE(Creditos!$I$6,8),"")</f>
        <v>46569</v>
      </c>
      <c r="F14" s="36">
        <f>IF(AND(Creditos!$C$6&lt;&gt;"",Creditos!$M$6="OK",9&lt;=Creditos!$H$6),M13,"")</f>
        <v>416021.86</v>
      </c>
      <c r="G14" s="37">
        <f>IF(AND(Creditos!$C$6&lt;&gt;"",Creditos!$M$6="OK",9&lt;=Creditos!$H$6),Creditos!$N$6,"")</f>
        <v>0.01</v>
      </c>
      <c r="H14" s="36">
        <f>IF(AND(Creditos!$C$6&lt;&gt;"",Creditos!$M$6="OK",9&lt;=Creditos!$H$6),ROUND(F14*G14,2),"")</f>
        <v>4160.22</v>
      </c>
      <c r="I14" s="36">
        <f>IF(AND(Creditos!$C$6&lt;&gt;"",Creditos!$M$6="OK",9&lt;=Creditos!$H$6),IF(9=Creditos!$H$6,F14+H14,MIN(Creditos!$O$6,F14+H14)),"")</f>
        <v>106618.55</v>
      </c>
      <c r="J14" s="36">
        <f>IF(AND(Creditos!$C$6&lt;&gt;"",Creditos!$M$6="OK",9&lt;=Creditos!$H$6),MIN(F14,MAX(0,I14-H14)),"")</f>
        <v>102458.33</v>
      </c>
      <c r="K14" s="36">
        <f>IF(AND(Creditos!$C$6&lt;&gt;"",Creditos!$M$6="OK",9&lt;=Creditos!$H$6),Creditos!$J$6+Creditos!$K$6,"")</f>
        <v>2500</v>
      </c>
      <c r="L14" s="36">
        <f>IF(AND(Creditos!$C$6&lt;&gt;"",Creditos!$M$6="OK",9&lt;=Creditos!$H$6),I14+K14,"")</f>
        <v>109118.55</v>
      </c>
      <c r="M14" s="36">
        <f>IF(AND(Creditos!$C$6&lt;&gt;"",Creditos!$M$6="OK",9&lt;=Creditos!$H$6),MAX(0,F14-J14),"")</f>
        <v>313563.53</v>
      </c>
      <c r="N14" s="36">
        <f>IF(AND(Creditos!$C$6&lt;&gt;"",Creditos!$M$6="OK",9&lt;=Creditos!$H$6),SUMIFS(Pagos!$F$6:$F$305,Pagos!$C$6:$C$305,C14,Pagos!$D$6:$D$305,D14,Pagos!$E$6:$E$305,"&lt;="&amp;Supuestos!$D$6,Pagos!$H$6:$H$305,"OK"),"")</f>
        <v>0</v>
      </c>
      <c r="O14" s="36">
        <f>IF(AND(Creditos!$C$6&lt;&gt;"",Creditos!$M$6="OK",9&lt;=Creditos!$H$6),MIN(J14,MAX(0,N14-K14-H14)),"")</f>
        <v>0</v>
      </c>
      <c r="P14" s="36">
        <f>IF(AND(Creditos!$C$6&lt;&gt;"",Creditos!$M$6="OK",9&lt;=Creditos!$H$6),MAX(0,L14-N14),"")</f>
        <v>109118.55</v>
      </c>
      <c r="Q14" s="39">
        <f>IF(AND(Creditos!$C$6&lt;&gt;"",Creditos!$M$6="OK",9&lt;=Creditos!$H$6),IF(AND(E14&lt;Supuestos!$D$6,P14&gt;0.005),Supuestos!$D$6-E14,0),"")</f>
        <v>0</v>
      </c>
      <c r="R14" s="36">
        <f>IF(AND(Creditos!$C$6&lt;&gt;"",Creditos!$M$6="OK",9&lt;=Creditos!$H$6),MAX(0,N14-L14),"")</f>
        <v>0</v>
      </c>
      <c r="S14" s="33" t="str">
        <f>IF(AND(Creditos!$C$6&lt;&gt;"",Creditos!$M$6="OK",9&lt;=Creditos!$H$6),IF(R14&gt;0.005,"Exceso sin imputar",IF(P14&lt;=0.005,"Pagada",IF(E14&lt;Supuestos!$D$6,"Vencida",IF(E14=Supuestos!$D$6,"Vence hoy","Por vencer")))),"")</f>
        <v>Por vencer</v>
      </c>
      <c r="T14" s="35">
        <f>IF(AND(Creditos!$C$6&lt;&gt;"",Creditos!$M$6="OK",9&lt;=Creditos!$H$6),IF(P14&gt;0.005,E14,999999),999999)</f>
        <v>46569</v>
      </c>
      <c r="U14" s="1"/>
      <c r="V14" s="1"/>
    </row>
    <row r="15" ht="25.5" customHeight="1">
      <c r="A15" s="1"/>
      <c r="B15" s="1"/>
      <c r="C15" s="33" t="str">
        <f>IF(AND(Creditos!$C$6&lt;&gt;"",Creditos!$M$6="OK",10&lt;=Creditos!$H$6),Creditos!$C$6,"")</f>
        <v>CR001</v>
      </c>
      <c r="D15" s="33">
        <f>IF(AND(Creditos!$C$6&lt;&gt;"",Creditos!$M$6="OK",10&lt;=Creditos!$H$6),10,"")</f>
        <v>10</v>
      </c>
      <c r="E15" s="35">
        <f>IF(AND(Creditos!$C$6&lt;&gt;"",Creditos!$M$6="OK",10&lt;=Creditos!$H$6),EDATE(Creditos!$I$6,9),"")</f>
        <v>46600</v>
      </c>
      <c r="F15" s="36">
        <f>IF(AND(Creditos!$C$6&lt;&gt;"",Creditos!$M$6="OK",10&lt;=Creditos!$H$6),M14,"")</f>
        <v>313563.53</v>
      </c>
      <c r="G15" s="37">
        <f>IF(AND(Creditos!$C$6&lt;&gt;"",Creditos!$M$6="OK",10&lt;=Creditos!$H$6),Creditos!$N$6,"")</f>
        <v>0.01</v>
      </c>
      <c r="H15" s="36">
        <f>IF(AND(Creditos!$C$6&lt;&gt;"",Creditos!$M$6="OK",10&lt;=Creditos!$H$6),ROUND(F15*G15,2),"")</f>
        <v>3135.64</v>
      </c>
      <c r="I15" s="36">
        <f>IF(AND(Creditos!$C$6&lt;&gt;"",Creditos!$M$6="OK",10&lt;=Creditos!$H$6),IF(10=Creditos!$H$6,F15+H15,MIN(Creditos!$O$6,F15+H15)),"")</f>
        <v>106618.55</v>
      </c>
      <c r="J15" s="36">
        <f>IF(AND(Creditos!$C$6&lt;&gt;"",Creditos!$M$6="OK",10&lt;=Creditos!$H$6),MIN(F15,MAX(0,I15-H15)),"")</f>
        <v>103482.91</v>
      </c>
      <c r="K15" s="36">
        <f>IF(AND(Creditos!$C$6&lt;&gt;"",Creditos!$M$6="OK",10&lt;=Creditos!$H$6),Creditos!$J$6+Creditos!$K$6,"")</f>
        <v>2500</v>
      </c>
      <c r="L15" s="36">
        <f>IF(AND(Creditos!$C$6&lt;&gt;"",Creditos!$M$6="OK",10&lt;=Creditos!$H$6),I15+K15,"")</f>
        <v>109118.55</v>
      </c>
      <c r="M15" s="36">
        <f>IF(AND(Creditos!$C$6&lt;&gt;"",Creditos!$M$6="OK",10&lt;=Creditos!$H$6),MAX(0,F15-J15),"")</f>
        <v>210080.62</v>
      </c>
      <c r="N15" s="36">
        <f>IF(AND(Creditos!$C$6&lt;&gt;"",Creditos!$M$6="OK",10&lt;=Creditos!$H$6),SUMIFS(Pagos!$F$6:$F$305,Pagos!$C$6:$C$305,C15,Pagos!$D$6:$D$305,D15,Pagos!$E$6:$E$305,"&lt;="&amp;Supuestos!$D$6,Pagos!$H$6:$H$305,"OK"),"")</f>
        <v>0</v>
      </c>
      <c r="O15" s="36">
        <f>IF(AND(Creditos!$C$6&lt;&gt;"",Creditos!$M$6="OK",10&lt;=Creditos!$H$6),MIN(J15,MAX(0,N15-K15-H15)),"")</f>
        <v>0</v>
      </c>
      <c r="P15" s="36">
        <f>IF(AND(Creditos!$C$6&lt;&gt;"",Creditos!$M$6="OK",10&lt;=Creditos!$H$6),MAX(0,L15-N15),"")</f>
        <v>109118.55</v>
      </c>
      <c r="Q15" s="39">
        <f>IF(AND(Creditos!$C$6&lt;&gt;"",Creditos!$M$6="OK",10&lt;=Creditos!$H$6),IF(AND(E15&lt;Supuestos!$D$6,P15&gt;0.005),Supuestos!$D$6-E15,0),"")</f>
        <v>0</v>
      </c>
      <c r="R15" s="36">
        <f>IF(AND(Creditos!$C$6&lt;&gt;"",Creditos!$M$6="OK",10&lt;=Creditos!$H$6),MAX(0,N15-L15),"")</f>
        <v>0</v>
      </c>
      <c r="S15" s="33" t="str">
        <f>IF(AND(Creditos!$C$6&lt;&gt;"",Creditos!$M$6="OK",10&lt;=Creditos!$H$6),IF(R15&gt;0.005,"Exceso sin imputar",IF(P15&lt;=0.005,"Pagada",IF(E15&lt;Supuestos!$D$6,"Vencida",IF(E15=Supuestos!$D$6,"Vence hoy","Por vencer")))),"")</f>
        <v>Por vencer</v>
      </c>
      <c r="T15" s="35">
        <f>IF(AND(Creditos!$C$6&lt;&gt;"",Creditos!$M$6="OK",10&lt;=Creditos!$H$6),IF(P15&gt;0.005,E15,999999),999999)</f>
        <v>46600</v>
      </c>
      <c r="U15" s="1"/>
      <c r="V15" s="1"/>
    </row>
    <row r="16" ht="25.5" customHeight="1">
      <c r="A16" s="1"/>
      <c r="B16" s="1"/>
      <c r="C16" s="33" t="str">
        <f>IF(AND(Creditos!$C$6&lt;&gt;"",Creditos!$M$6="OK",11&lt;=Creditos!$H$6),Creditos!$C$6,"")</f>
        <v>CR001</v>
      </c>
      <c r="D16" s="33">
        <f>IF(AND(Creditos!$C$6&lt;&gt;"",Creditos!$M$6="OK",11&lt;=Creditos!$H$6),11,"")</f>
        <v>11</v>
      </c>
      <c r="E16" s="35">
        <f>IF(AND(Creditos!$C$6&lt;&gt;"",Creditos!$M$6="OK",11&lt;=Creditos!$H$6),EDATE(Creditos!$I$6,10),"")</f>
        <v>46631</v>
      </c>
      <c r="F16" s="36">
        <f>IF(AND(Creditos!$C$6&lt;&gt;"",Creditos!$M$6="OK",11&lt;=Creditos!$H$6),M15,"")</f>
        <v>210080.62</v>
      </c>
      <c r="G16" s="37">
        <f>IF(AND(Creditos!$C$6&lt;&gt;"",Creditos!$M$6="OK",11&lt;=Creditos!$H$6),Creditos!$N$6,"")</f>
        <v>0.01</v>
      </c>
      <c r="H16" s="36">
        <f>IF(AND(Creditos!$C$6&lt;&gt;"",Creditos!$M$6="OK",11&lt;=Creditos!$H$6),ROUND(F16*G16,2),"")</f>
        <v>2100.81</v>
      </c>
      <c r="I16" s="36">
        <f>IF(AND(Creditos!$C$6&lt;&gt;"",Creditos!$M$6="OK",11&lt;=Creditos!$H$6),IF(11=Creditos!$H$6,F16+H16,MIN(Creditos!$O$6,F16+H16)),"")</f>
        <v>106618.55</v>
      </c>
      <c r="J16" s="36">
        <f>IF(AND(Creditos!$C$6&lt;&gt;"",Creditos!$M$6="OK",11&lt;=Creditos!$H$6),MIN(F16,MAX(0,I16-H16)),"")</f>
        <v>104517.74</v>
      </c>
      <c r="K16" s="36">
        <f>IF(AND(Creditos!$C$6&lt;&gt;"",Creditos!$M$6="OK",11&lt;=Creditos!$H$6),Creditos!$J$6+Creditos!$K$6,"")</f>
        <v>2500</v>
      </c>
      <c r="L16" s="36">
        <f>IF(AND(Creditos!$C$6&lt;&gt;"",Creditos!$M$6="OK",11&lt;=Creditos!$H$6),I16+K16,"")</f>
        <v>109118.55</v>
      </c>
      <c r="M16" s="36">
        <f>IF(AND(Creditos!$C$6&lt;&gt;"",Creditos!$M$6="OK",11&lt;=Creditos!$H$6),MAX(0,F16-J16),"")</f>
        <v>105562.88</v>
      </c>
      <c r="N16" s="36">
        <f>IF(AND(Creditos!$C$6&lt;&gt;"",Creditos!$M$6="OK",11&lt;=Creditos!$H$6),SUMIFS(Pagos!$F$6:$F$305,Pagos!$C$6:$C$305,C16,Pagos!$D$6:$D$305,D16,Pagos!$E$6:$E$305,"&lt;="&amp;Supuestos!$D$6,Pagos!$H$6:$H$305,"OK"),"")</f>
        <v>0</v>
      </c>
      <c r="O16" s="36">
        <f>IF(AND(Creditos!$C$6&lt;&gt;"",Creditos!$M$6="OK",11&lt;=Creditos!$H$6),MIN(J16,MAX(0,N16-K16-H16)),"")</f>
        <v>0</v>
      </c>
      <c r="P16" s="36">
        <f>IF(AND(Creditos!$C$6&lt;&gt;"",Creditos!$M$6="OK",11&lt;=Creditos!$H$6),MAX(0,L16-N16),"")</f>
        <v>109118.55</v>
      </c>
      <c r="Q16" s="39">
        <f>IF(AND(Creditos!$C$6&lt;&gt;"",Creditos!$M$6="OK",11&lt;=Creditos!$H$6),IF(AND(E16&lt;Supuestos!$D$6,P16&gt;0.005),Supuestos!$D$6-E16,0),"")</f>
        <v>0</v>
      </c>
      <c r="R16" s="36">
        <f>IF(AND(Creditos!$C$6&lt;&gt;"",Creditos!$M$6="OK",11&lt;=Creditos!$H$6),MAX(0,N16-L16),"")</f>
        <v>0</v>
      </c>
      <c r="S16" s="33" t="str">
        <f>IF(AND(Creditos!$C$6&lt;&gt;"",Creditos!$M$6="OK",11&lt;=Creditos!$H$6),IF(R16&gt;0.005,"Exceso sin imputar",IF(P16&lt;=0.005,"Pagada",IF(E16&lt;Supuestos!$D$6,"Vencida",IF(E16=Supuestos!$D$6,"Vence hoy","Por vencer")))),"")</f>
        <v>Por vencer</v>
      </c>
      <c r="T16" s="35">
        <f>IF(AND(Creditos!$C$6&lt;&gt;"",Creditos!$M$6="OK",11&lt;=Creditos!$H$6),IF(P16&gt;0.005,E16,999999),999999)</f>
        <v>46631</v>
      </c>
      <c r="U16" s="1"/>
      <c r="V16" s="1"/>
    </row>
    <row r="17" ht="25.5" customHeight="1">
      <c r="A17" s="1"/>
      <c r="B17" s="1"/>
      <c r="C17" s="33" t="str">
        <f>IF(AND(Creditos!$C$6&lt;&gt;"",Creditos!$M$6="OK",12&lt;=Creditos!$H$6),Creditos!$C$6,"")</f>
        <v>CR001</v>
      </c>
      <c r="D17" s="33">
        <f>IF(AND(Creditos!$C$6&lt;&gt;"",Creditos!$M$6="OK",12&lt;=Creditos!$H$6),12,"")</f>
        <v>12</v>
      </c>
      <c r="E17" s="35">
        <f>IF(AND(Creditos!$C$6&lt;&gt;"",Creditos!$M$6="OK",12&lt;=Creditos!$H$6),EDATE(Creditos!$I$6,11),"")</f>
        <v>46661</v>
      </c>
      <c r="F17" s="36">
        <f>IF(AND(Creditos!$C$6&lt;&gt;"",Creditos!$M$6="OK",12&lt;=Creditos!$H$6),M16,"")</f>
        <v>105562.88</v>
      </c>
      <c r="G17" s="37">
        <f>IF(AND(Creditos!$C$6&lt;&gt;"",Creditos!$M$6="OK",12&lt;=Creditos!$H$6),Creditos!$N$6,"")</f>
        <v>0.01</v>
      </c>
      <c r="H17" s="36">
        <f>IF(AND(Creditos!$C$6&lt;&gt;"",Creditos!$M$6="OK",12&lt;=Creditos!$H$6),ROUND(F17*G17,2),"")</f>
        <v>1055.63</v>
      </c>
      <c r="I17" s="36">
        <f>IF(AND(Creditos!$C$6&lt;&gt;"",Creditos!$M$6="OK",12&lt;=Creditos!$H$6),IF(12=Creditos!$H$6,F17+H17,MIN(Creditos!$O$6,F17+H17)),"")</f>
        <v>106618.51</v>
      </c>
      <c r="J17" s="36">
        <f>IF(AND(Creditos!$C$6&lt;&gt;"",Creditos!$M$6="OK",12&lt;=Creditos!$H$6),MIN(F17,MAX(0,I17-H17)),"")</f>
        <v>105562.88</v>
      </c>
      <c r="K17" s="36">
        <f>IF(AND(Creditos!$C$6&lt;&gt;"",Creditos!$M$6="OK",12&lt;=Creditos!$H$6),Creditos!$J$6+Creditos!$K$6,"")</f>
        <v>2500</v>
      </c>
      <c r="L17" s="36">
        <f>IF(AND(Creditos!$C$6&lt;&gt;"",Creditos!$M$6="OK",12&lt;=Creditos!$H$6),I17+K17,"")</f>
        <v>109118.51</v>
      </c>
      <c r="M17" s="36">
        <f>IF(AND(Creditos!$C$6&lt;&gt;"",Creditos!$M$6="OK",12&lt;=Creditos!$H$6),MAX(0,F17-J17),"")</f>
        <v>0</v>
      </c>
      <c r="N17" s="36">
        <f>IF(AND(Creditos!$C$6&lt;&gt;"",Creditos!$M$6="OK",12&lt;=Creditos!$H$6),SUMIFS(Pagos!$F$6:$F$305,Pagos!$C$6:$C$305,C17,Pagos!$D$6:$D$305,D17,Pagos!$E$6:$E$305,"&lt;="&amp;Supuestos!$D$6,Pagos!$H$6:$H$305,"OK"),"")</f>
        <v>0</v>
      </c>
      <c r="O17" s="36">
        <f>IF(AND(Creditos!$C$6&lt;&gt;"",Creditos!$M$6="OK",12&lt;=Creditos!$H$6),MIN(J17,MAX(0,N17-K17-H17)),"")</f>
        <v>0</v>
      </c>
      <c r="P17" s="36">
        <f>IF(AND(Creditos!$C$6&lt;&gt;"",Creditos!$M$6="OK",12&lt;=Creditos!$H$6),MAX(0,L17-N17),"")</f>
        <v>109118.51</v>
      </c>
      <c r="Q17" s="39">
        <f>IF(AND(Creditos!$C$6&lt;&gt;"",Creditos!$M$6="OK",12&lt;=Creditos!$H$6),IF(AND(E17&lt;Supuestos!$D$6,P17&gt;0.005),Supuestos!$D$6-E17,0),"")</f>
        <v>0</v>
      </c>
      <c r="R17" s="36">
        <f>IF(AND(Creditos!$C$6&lt;&gt;"",Creditos!$M$6="OK",12&lt;=Creditos!$H$6),MAX(0,N17-L17),"")</f>
        <v>0</v>
      </c>
      <c r="S17" s="33" t="str">
        <f>IF(AND(Creditos!$C$6&lt;&gt;"",Creditos!$M$6="OK",12&lt;=Creditos!$H$6),IF(R17&gt;0.005,"Exceso sin imputar",IF(P17&lt;=0.005,"Pagada",IF(E17&lt;Supuestos!$D$6,"Vencida",IF(E17=Supuestos!$D$6,"Vence hoy","Por vencer")))),"")</f>
        <v>Por vencer</v>
      </c>
      <c r="T17" s="35">
        <f>IF(AND(Creditos!$C$6&lt;&gt;"",Creditos!$M$6="OK",12&lt;=Creditos!$H$6),IF(P17&gt;0.005,E17,999999),999999)</f>
        <v>46661</v>
      </c>
      <c r="U17" s="1"/>
      <c r="V17" s="1"/>
    </row>
    <row r="18" ht="25.5" customHeight="1">
      <c r="A18" s="1"/>
      <c r="B18" s="1"/>
      <c r="C18" s="33" t="str">
        <f>IF(AND(Creditos!$C$6&lt;&gt;"",Creditos!$M$6="OK",13&lt;=Creditos!$H$6),Creditos!$C$6,"")</f>
        <v/>
      </c>
      <c r="D18" s="33" t="str">
        <f>IF(AND(Creditos!$C$6&lt;&gt;"",Creditos!$M$6="OK",13&lt;=Creditos!$H$6),13,"")</f>
        <v/>
      </c>
      <c r="E18" s="35" t="str">
        <f>IF(AND(Creditos!$C$6&lt;&gt;"",Creditos!$M$6="OK",13&lt;=Creditos!$H$6),EDATE(Creditos!$I$6,12),"")</f>
        <v/>
      </c>
      <c r="F18" s="36" t="str">
        <f>IF(AND(Creditos!$C$6&lt;&gt;"",Creditos!$M$6="OK",13&lt;=Creditos!$H$6),M17,"")</f>
        <v/>
      </c>
      <c r="G18" s="37" t="str">
        <f>IF(AND(Creditos!$C$6&lt;&gt;"",Creditos!$M$6="OK",13&lt;=Creditos!$H$6),Creditos!$N$6,"")</f>
        <v/>
      </c>
      <c r="H18" s="36" t="str">
        <f>IF(AND(Creditos!$C$6&lt;&gt;"",Creditos!$M$6="OK",13&lt;=Creditos!$H$6),ROUND(F18*G18,2),"")</f>
        <v/>
      </c>
      <c r="I18" s="36" t="str">
        <f>IF(AND(Creditos!$C$6&lt;&gt;"",Creditos!$M$6="OK",13&lt;=Creditos!$H$6),IF(13=Creditos!$H$6,F18+H18,MIN(Creditos!$O$6,F18+H18)),"")</f>
        <v/>
      </c>
      <c r="J18" s="36" t="str">
        <f>IF(AND(Creditos!$C$6&lt;&gt;"",Creditos!$M$6="OK",13&lt;=Creditos!$H$6),MIN(F18,MAX(0,I18-H18)),"")</f>
        <v/>
      </c>
      <c r="K18" s="36" t="str">
        <f>IF(AND(Creditos!$C$6&lt;&gt;"",Creditos!$M$6="OK",13&lt;=Creditos!$H$6),Creditos!$J$6+Creditos!$K$6,"")</f>
        <v/>
      </c>
      <c r="L18" s="36" t="str">
        <f>IF(AND(Creditos!$C$6&lt;&gt;"",Creditos!$M$6="OK",13&lt;=Creditos!$H$6),I18+K18,"")</f>
        <v/>
      </c>
      <c r="M18" s="36" t="str">
        <f>IF(AND(Creditos!$C$6&lt;&gt;"",Creditos!$M$6="OK",13&lt;=Creditos!$H$6),MAX(0,F18-J18),"")</f>
        <v/>
      </c>
      <c r="N18" s="36" t="str">
        <f>IF(AND(Creditos!$C$6&lt;&gt;"",Creditos!$M$6="OK",13&lt;=Creditos!$H$6),SUMIFS(Pagos!$F$6:$F$305,Pagos!$C$6:$C$305,C18,Pagos!$D$6:$D$305,D18,Pagos!$E$6:$E$305,"&lt;="&amp;Supuestos!$D$6,Pagos!$H$6:$H$305,"OK"),"")</f>
        <v/>
      </c>
      <c r="O18" s="36" t="str">
        <f>IF(AND(Creditos!$C$6&lt;&gt;"",Creditos!$M$6="OK",13&lt;=Creditos!$H$6),MIN(J18,MAX(0,N18-K18-H18)),"")</f>
        <v/>
      </c>
      <c r="P18" s="36" t="str">
        <f>IF(AND(Creditos!$C$6&lt;&gt;"",Creditos!$M$6="OK",13&lt;=Creditos!$H$6),MAX(0,L18-N18),"")</f>
        <v/>
      </c>
      <c r="Q18" s="39" t="str">
        <f>IF(AND(Creditos!$C$6&lt;&gt;"",Creditos!$M$6="OK",13&lt;=Creditos!$H$6),IF(AND(E18&lt;Supuestos!$D$6,P18&gt;0.005),Supuestos!$D$6-E18,0),"")</f>
        <v/>
      </c>
      <c r="R18" s="36" t="str">
        <f>IF(AND(Creditos!$C$6&lt;&gt;"",Creditos!$M$6="OK",13&lt;=Creditos!$H$6),MAX(0,N18-L18),"")</f>
        <v/>
      </c>
      <c r="S18" s="33" t="str">
        <f>IF(AND(Creditos!$C$6&lt;&gt;"",Creditos!$M$6="OK",13&lt;=Creditos!$H$6),IF(R18&gt;0.005,"Exceso sin imputar",IF(P18&lt;=0.005,"Pagada",IF(E18&lt;Supuestos!$D$6,"Vencida",IF(E18=Supuestos!$D$6,"Vence hoy","Por vencer")))),"")</f>
        <v/>
      </c>
      <c r="T18" s="33">
        <f>IF(AND(Creditos!$C$6&lt;&gt;"",Creditos!$M$6="OK",13&lt;=Creditos!$H$6),IF(P18&gt;0.005,E18,999999),999999)</f>
        <v>999999</v>
      </c>
      <c r="U18" s="1"/>
      <c r="V18" s="1"/>
    </row>
    <row r="19" ht="25.5" customHeight="1">
      <c r="A19" s="1"/>
      <c r="B19" s="1"/>
      <c r="C19" s="33" t="str">
        <f>IF(AND(Creditos!$C$6&lt;&gt;"",Creditos!$M$6="OK",14&lt;=Creditos!$H$6),Creditos!$C$6,"")</f>
        <v/>
      </c>
      <c r="D19" s="33" t="str">
        <f>IF(AND(Creditos!$C$6&lt;&gt;"",Creditos!$M$6="OK",14&lt;=Creditos!$H$6),14,"")</f>
        <v/>
      </c>
      <c r="E19" s="35" t="str">
        <f>IF(AND(Creditos!$C$6&lt;&gt;"",Creditos!$M$6="OK",14&lt;=Creditos!$H$6),EDATE(Creditos!$I$6,13),"")</f>
        <v/>
      </c>
      <c r="F19" s="36" t="str">
        <f>IF(AND(Creditos!$C$6&lt;&gt;"",Creditos!$M$6="OK",14&lt;=Creditos!$H$6),M18,"")</f>
        <v/>
      </c>
      <c r="G19" s="37" t="str">
        <f>IF(AND(Creditos!$C$6&lt;&gt;"",Creditos!$M$6="OK",14&lt;=Creditos!$H$6),Creditos!$N$6,"")</f>
        <v/>
      </c>
      <c r="H19" s="36" t="str">
        <f>IF(AND(Creditos!$C$6&lt;&gt;"",Creditos!$M$6="OK",14&lt;=Creditos!$H$6),ROUND(F19*G19,2),"")</f>
        <v/>
      </c>
      <c r="I19" s="36" t="str">
        <f>IF(AND(Creditos!$C$6&lt;&gt;"",Creditos!$M$6="OK",14&lt;=Creditos!$H$6),IF(14=Creditos!$H$6,F19+H19,MIN(Creditos!$O$6,F19+H19)),"")</f>
        <v/>
      </c>
      <c r="J19" s="36" t="str">
        <f>IF(AND(Creditos!$C$6&lt;&gt;"",Creditos!$M$6="OK",14&lt;=Creditos!$H$6),MIN(F19,MAX(0,I19-H19)),"")</f>
        <v/>
      </c>
      <c r="K19" s="36" t="str">
        <f>IF(AND(Creditos!$C$6&lt;&gt;"",Creditos!$M$6="OK",14&lt;=Creditos!$H$6),Creditos!$J$6+Creditos!$K$6,"")</f>
        <v/>
      </c>
      <c r="L19" s="36" t="str">
        <f>IF(AND(Creditos!$C$6&lt;&gt;"",Creditos!$M$6="OK",14&lt;=Creditos!$H$6),I19+K19,"")</f>
        <v/>
      </c>
      <c r="M19" s="36" t="str">
        <f>IF(AND(Creditos!$C$6&lt;&gt;"",Creditos!$M$6="OK",14&lt;=Creditos!$H$6),MAX(0,F19-J19),"")</f>
        <v/>
      </c>
      <c r="N19" s="36" t="str">
        <f>IF(AND(Creditos!$C$6&lt;&gt;"",Creditos!$M$6="OK",14&lt;=Creditos!$H$6),SUMIFS(Pagos!$F$6:$F$305,Pagos!$C$6:$C$305,C19,Pagos!$D$6:$D$305,D19,Pagos!$E$6:$E$305,"&lt;="&amp;Supuestos!$D$6,Pagos!$H$6:$H$305,"OK"),"")</f>
        <v/>
      </c>
      <c r="O19" s="36" t="str">
        <f>IF(AND(Creditos!$C$6&lt;&gt;"",Creditos!$M$6="OK",14&lt;=Creditos!$H$6),MIN(J19,MAX(0,N19-K19-H19)),"")</f>
        <v/>
      </c>
      <c r="P19" s="36" t="str">
        <f>IF(AND(Creditos!$C$6&lt;&gt;"",Creditos!$M$6="OK",14&lt;=Creditos!$H$6),MAX(0,L19-N19),"")</f>
        <v/>
      </c>
      <c r="Q19" s="39" t="str">
        <f>IF(AND(Creditos!$C$6&lt;&gt;"",Creditos!$M$6="OK",14&lt;=Creditos!$H$6),IF(AND(E19&lt;Supuestos!$D$6,P19&gt;0.005),Supuestos!$D$6-E19,0),"")</f>
        <v/>
      </c>
      <c r="R19" s="36" t="str">
        <f>IF(AND(Creditos!$C$6&lt;&gt;"",Creditos!$M$6="OK",14&lt;=Creditos!$H$6),MAX(0,N19-L19),"")</f>
        <v/>
      </c>
      <c r="S19" s="33" t="str">
        <f>IF(AND(Creditos!$C$6&lt;&gt;"",Creditos!$M$6="OK",14&lt;=Creditos!$H$6),IF(R19&gt;0.005,"Exceso sin imputar",IF(P19&lt;=0.005,"Pagada",IF(E19&lt;Supuestos!$D$6,"Vencida",IF(E19=Supuestos!$D$6,"Vence hoy","Por vencer")))),"")</f>
        <v/>
      </c>
      <c r="T19" s="33">
        <f>IF(AND(Creditos!$C$6&lt;&gt;"",Creditos!$M$6="OK",14&lt;=Creditos!$H$6),IF(P19&gt;0.005,E19,999999),999999)</f>
        <v>999999</v>
      </c>
      <c r="U19" s="1"/>
      <c r="V19" s="1"/>
    </row>
    <row r="20" ht="25.5" customHeight="1">
      <c r="A20" s="1"/>
      <c r="B20" s="1"/>
      <c r="C20" s="33" t="str">
        <f>IF(AND(Creditos!$C$6&lt;&gt;"",Creditos!$M$6="OK",15&lt;=Creditos!$H$6),Creditos!$C$6,"")</f>
        <v/>
      </c>
      <c r="D20" s="33" t="str">
        <f>IF(AND(Creditos!$C$6&lt;&gt;"",Creditos!$M$6="OK",15&lt;=Creditos!$H$6),15,"")</f>
        <v/>
      </c>
      <c r="E20" s="35" t="str">
        <f>IF(AND(Creditos!$C$6&lt;&gt;"",Creditos!$M$6="OK",15&lt;=Creditos!$H$6),EDATE(Creditos!$I$6,14),"")</f>
        <v/>
      </c>
      <c r="F20" s="36" t="str">
        <f>IF(AND(Creditos!$C$6&lt;&gt;"",Creditos!$M$6="OK",15&lt;=Creditos!$H$6),M19,"")</f>
        <v/>
      </c>
      <c r="G20" s="37" t="str">
        <f>IF(AND(Creditos!$C$6&lt;&gt;"",Creditos!$M$6="OK",15&lt;=Creditos!$H$6),Creditos!$N$6,"")</f>
        <v/>
      </c>
      <c r="H20" s="36" t="str">
        <f>IF(AND(Creditos!$C$6&lt;&gt;"",Creditos!$M$6="OK",15&lt;=Creditos!$H$6),ROUND(F20*G20,2),"")</f>
        <v/>
      </c>
      <c r="I20" s="36" t="str">
        <f>IF(AND(Creditos!$C$6&lt;&gt;"",Creditos!$M$6="OK",15&lt;=Creditos!$H$6),IF(15=Creditos!$H$6,F20+H20,MIN(Creditos!$O$6,F20+H20)),"")</f>
        <v/>
      </c>
      <c r="J20" s="36" t="str">
        <f>IF(AND(Creditos!$C$6&lt;&gt;"",Creditos!$M$6="OK",15&lt;=Creditos!$H$6),MIN(F20,MAX(0,I20-H20)),"")</f>
        <v/>
      </c>
      <c r="K20" s="36" t="str">
        <f>IF(AND(Creditos!$C$6&lt;&gt;"",Creditos!$M$6="OK",15&lt;=Creditos!$H$6),Creditos!$J$6+Creditos!$K$6,"")</f>
        <v/>
      </c>
      <c r="L20" s="36" t="str">
        <f>IF(AND(Creditos!$C$6&lt;&gt;"",Creditos!$M$6="OK",15&lt;=Creditos!$H$6),I20+K20,"")</f>
        <v/>
      </c>
      <c r="M20" s="36" t="str">
        <f>IF(AND(Creditos!$C$6&lt;&gt;"",Creditos!$M$6="OK",15&lt;=Creditos!$H$6),MAX(0,F20-J20),"")</f>
        <v/>
      </c>
      <c r="N20" s="36" t="str">
        <f>IF(AND(Creditos!$C$6&lt;&gt;"",Creditos!$M$6="OK",15&lt;=Creditos!$H$6),SUMIFS(Pagos!$F$6:$F$305,Pagos!$C$6:$C$305,C20,Pagos!$D$6:$D$305,D20,Pagos!$E$6:$E$305,"&lt;="&amp;Supuestos!$D$6,Pagos!$H$6:$H$305,"OK"),"")</f>
        <v/>
      </c>
      <c r="O20" s="36" t="str">
        <f>IF(AND(Creditos!$C$6&lt;&gt;"",Creditos!$M$6="OK",15&lt;=Creditos!$H$6),MIN(J20,MAX(0,N20-K20-H20)),"")</f>
        <v/>
      </c>
      <c r="P20" s="36" t="str">
        <f>IF(AND(Creditos!$C$6&lt;&gt;"",Creditos!$M$6="OK",15&lt;=Creditos!$H$6),MAX(0,L20-N20),"")</f>
        <v/>
      </c>
      <c r="Q20" s="39" t="str">
        <f>IF(AND(Creditos!$C$6&lt;&gt;"",Creditos!$M$6="OK",15&lt;=Creditos!$H$6),IF(AND(E20&lt;Supuestos!$D$6,P20&gt;0.005),Supuestos!$D$6-E20,0),"")</f>
        <v/>
      </c>
      <c r="R20" s="36" t="str">
        <f>IF(AND(Creditos!$C$6&lt;&gt;"",Creditos!$M$6="OK",15&lt;=Creditos!$H$6),MAX(0,N20-L20),"")</f>
        <v/>
      </c>
      <c r="S20" s="33" t="str">
        <f>IF(AND(Creditos!$C$6&lt;&gt;"",Creditos!$M$6="OK",15&lt;=Creditos!$H$6),IF(R20&gt;0.005,"Exceso sin imputar",IF(P20&lt;=0.005,"Pagada",IF(E20&lt;Supuestos!$D$6,"Vencida",IF(E20=Supuestos!$D$6,"Vence hoy","Por vencer")))),"")</f>
        <v/>
      </c>
      <c r="T20" s="33">
        <f>IF(AND(Creditos!$C$6&lt;&gt;"",Creditos!$M$6="OK",15&lt;=Creditos!$H$6),IF(P20&gt;0.005,E20,999999),999999)</f>
        <v>999999</v>
      </c>
      <c r="U20" s="1"/>
      <c r="V20" s="1"/>
    </row>
    <row r="21" ht="25.5" customHeight="1">
      <c r="A21" s="1"/>
      <c r="B21" s="1"/>
      <c r="C21" s="33" t="str">
        <f>IF(AND(Creditos!$C$6&lt;&gt;"",Creditos!$M$6="OK",16&lt;=Creditos!$H$6),Creditos!$C$6,"")</f>
        <v/>
      </c>
      <c r="D21" s="33" t="str">
        <f>IF(AND(Creditos!$C$6&lt;&gt;"",Creditos!$M$6="OK",16&lt;=Creditos!$H$6),16,"")</f>
        <v/>
      </c>
      <c r="E21" s="35" t="str">
        <f>IF(AND(Creditos!$C$6&lt;&gt;"",Creditos!$M$6="OK",16&lt;=Creditos!$H$6),EDATE(Creditos!$I$6,15),"")</f>
        <v/>
      </c>
      <c r="F21" s="36" t="str">
        <f>IF(AND(Creditos!$C$6&lt;&gt;"",Creditos!$M$6="OK",16&lt;=Creditos!$H$6),M20,"")</f>
        <v/>
      </c>
      <c r="G21" s="37" t="str">
        <f>IF(AND(Creditos!$C$6&lt;&gt;"",Creditos!$M$6="OK",16&lt;=Creditos!$H$6),Creditos!$N$6,"")</f>
        <v/>
      </c>
      <c r="H21" s="36" t="str">
        <f>IF(AND(Creditos!$C$6&lt;&gt;"",Creditos!$M$6="OK",16&lt;=Creditos!$H$6),ROUND(F21*G21,2),"")</f>
        <v/>
      </c>
      <c r="I21" s="36" t="str">
        <f>IF(AND(Creditos!$C$6&lt;&gt;"",Creditos!$M$6="OK",16&lt;=Creditos!$H$6),IF(16=Creditos!$H$6,F21+H21,MIN(Creditos!$O$6,F21+H21)),"")</f>
        <v/>
      </c>
      <c r="J21" s="36" t="str">
        <f>IF(AND(Creditos!$C$6&lt;&gt;"",Creditos!$M$6="OK",16&lt;=Creditos!$H$6),MIN(F21,MAX(0,I21-H21)),"")</f>
        <v/>
      </c>
      <c r="K21" s="36" t="str">
        <f>IF(AND(Creditos!$C$6&lt;&gt;"",Creditos!$M$6="OK",16&lt;=Creditos!$H$6),Creditos!$J$6+Creditos!$K$6,"")</f>
        <v/>
      </c>
      <c r="L21" s="36" t="str">
        <f>IF(AND(Creditos!$C$6&lt;&gt;"",Creditos!$M$6="OK",16&lt;=Creditos!$H$6),I21+K21,"")</f>
        <v/>
      </c>
      <c r="M21" s="36" t="str">
        <f>IF(AND(Creditos!$C$6&lt;&gt;"",Creditos!$M$6="OK",16&lt;=Creditos!$H$6),MAX(0,F21-J21),"")</f>
        <v/>
      </c>
      <c r="N21" s="36" t="str">
        <f>IF(AND(Creditos!$C$6&lt;&gt;"",Creditos!$M$6="OK",16&lt;=Creditos!$H$6),SUMIFS(Pagos!$F$6:$F$305,Pagos!$C$6:$C$305,C21,Pagos!$D$6:$D$305,D21,Pagos!$E$6:$E$305,"&lt;="&amp;Supuestos!$D$6,Pagos!$H$6:$H$305,"OK"),"")</f>
        <v/>
      </c>
      <c r="O21" s="36" t="str">
        <f>IF(AND(Creditos!$C$6&lt;&gt;"",Creditos!$M$6="OK",16&lt;=Creditos!$H$6),MIN(J21,MAX(0,N21-K21-H21)),"")</f>
        <v/>
      </c>
      <c r="P21" s="36" t="str">
        <f>IF(AND(Creditos!$C$6&lt;&gt;"",Creditos!$M$6="OK",16&lt;=Creditos!$H$6),MAX(0,L21-N21),"")</f>
        <v/>
      </c>
      <c r="Q21" s="39" t="str">
        <f>IF(AND(Creditos!$C$6&lt;&gt;"",Creditos!$M$6="OK",16&lt;=Creditos!$H$6),IF(AND(E21&lt;Supuestos!$D$6,P21&gt;0.005),Supuestos!$D$6-E21,0),"")</f>
        <v/>
      </c>
      <c r="R21" s="36" t="str">
        <f>IF(AND(Creditos!$C$6&lt;&gt;"",Creditos!$M$6="OK",16&lt;=Creditos!$H$6),MAX(0,N21-L21),"")</f>
        <v/>
      </c>
      <c r="S21" s="33" t="str">
        <f>IF(AND(Creditos!$C$6&lt;&gt;"",Creditos!$M$6="OK",16&lt;=Creditos!$H$6),IF(R21&gt;0.005,"Exceso sin imputar",IF(P21&lt;=0.005,"Pagada",IF(E21&lt;Supuestos!$D$6,"Vencida",IF(E21=Supuestos!$D$6,"Vence hoy","Por vencer")))),"")</f>
        <v/>
      </c>
      <c r="T21" s="33">
        <f>IF(AND(Creditos!$C$6&lt;&gt;"",Creditos!$M$6="OK",16&lt;=Creditos!$H$6),IF(P21&gt;0.005,E21,999999),999999)</f>
        <v>999999</v>
      </c>
      <c r="U21" s="1"/>
      <c r="V21" s="1"/>
    </row>
    <row r="22" ht="25.5" customHeight="1">
      <c r="A22" s="1"/>
      <c r="B22" s="1"/>
      <c r="C22" s="33" t="str">
        <f>IF(AND(Creditos!$C$6&lt;&gt;"",Creditos!$M$6="OK",17&lt;=Creditos!$H$6),Creditos!$C$6,"")</f>
        <v/>
      </c>
      <c r="D22" s="33" t="str">
        <f>IF(AND(Creditos!$C$6&lt;&gt;"",Creditos!$M$6="OK",17&lt;=Creditos!$H$6),17,"")</f>
        <v/>
      </c>
      <c r="E22" s="35" t="str">
        <f>IF(AND(Creditos!$C$6&lt;&gt;"",Creditos!$M$6="OK",17&lt;=Creditos!$H$6),EDATE(Creditos!$I$6,16),"")</f>
        <v/>
      </c>
      <c r="F22" s="36" t="str">
        <f>IF(AND(Creditos!$C$6&lt;&gt;"",Creditos!$M$6="OK",17&lt;=Creditos!$H$6),M21,"")</f>
        <v/>
      </c>
      <c r="G22" s="37" t="str">
        <f>IF(AND(Creditos!$C$6&lt;&gt;"",Creditos!$M$6="OK",17&lt;=Creditos!$H$6),Creditos!$N$6,"")</f>
        <v/>
      </c>
      <c r="H22" s="36" t="str">
        <f>IF(AND(Creditos!$C$6&lt;&gt;"",Creditos!$M$6="OK",17&lt;=Creditos!$H$6),ROUND(F22*G22,2),"")</f>
        <v/>
      </c>
      <c r="I22" s="36" t="str">
        <f>IF(AND(Creditos!$C$6&lt;&gt;"",Creditos!$M$6="OK",17&lt;=Creditos!$H$6),IF(17=Creditos!$H$6,F22+H22,MIN(Creditos!$O$6,F22+H22)),"")</f>
        <v/>
      </c>
      <c r="J22" s="36" t="str">
        <f>IF(AND(Creditos!$C$6&lt;&gt;"",Creditos!$M$6="OK",17&lt;=Creditos!$H$6),MIN(F22,MAX(0,I22-H22)),"")</f>
        <v/>
      </c>
      <c r="K22" s="36" t="str">
        <f>IF(AND(Creditos!$C$6&lt;&gt;"",Creditos!$M$6="OK",17&lt;=Creditos!$H$6),Creditos!$J$6+Creditos!$K$6,"")</f>
        <v/>
      </c>
      <c r="L22" s="36" t="str">
        <f>IF(AND(Creditos!$C$6&lt;&gt;"",Creditos!$M$6="OK",17&lt;=Creditos!$H$6),I22+K22,"")</f>
        <v/>
      </c>
      <c r="M22" s="36" t="str">
        <f>IF(AND(Creditos!$C$6&lt;&gt;"",Creditos!$M$6="OK",17&lt;=Creditos!$H$6),MAX(0,F22-J22),"")</f>
        <v/>
      </c>
      <c r="N22" s="36" t="str">
        <f>IF(AND(Creditos!$C$6&lt;&gt;"",Creditos!$M$6="OK",17&lt;=Creditos!$H$6),SUMIFS(Pagos!$F$6:$F$305,Pagos!$C$6:$C$305,C22,Pagos!$D$6:$D$305,D22,Pagos!$E$6:$E$305,"&lt;="&amp;Supuestos!$D$6,Pagos!$H$6:$H$305,"OK"),"")</f>
        <v/>
      </c>
      <c r="O22" s="36" t="str">
        <f>IF(AND(Creditos!$C$6&lt;&gt;"",Creditos!$M$6="OK",17&lt;=Creditos!$H$6),MIN(J22,MAX(0,N22-K22-H22)),"")</f>
        <v/>
      </c>
      <c r="P22" s="36" t="str">
        <f>IF(AND(Creditos!$C$6&lt;&gt;"",Creditos!$M$6="OK",17&lt;=Creditos!$H$6),MAX(0,L22-N22),"")</f>
        <v/>
      </c>
      <c r="Q22" s="39" t="str">
        <f>IF(AND(Creditos!$C$6&lt;&gt;"",Creditos!$M$6="OK",17&lt;=Creditos!$H$6),IF(AND(E22&lt;Supuestos!$D$6,P22&gt;0.005),Supuestos!$D$6-E22,0),"")</f>
        <v/>
      </c>
      <c r="R22" s="36" t="str">
        <f>IF(AND(Creditos!$C$6&lt;&gt;"",Creditos!$M$6="OK",17&lt;=Creditos!$H$6),MAX(0,N22-L22),"")</f>
        <v/>
      </c>
      <c r="S22" s="33" t="str">
        <f>IF(AND(Creditos!$C$6&lt;&gt;"",Creditos!$M$6="OK",17&lt;=Creditos!$H$6),IF(R22&gt;0.005,"Exceso sin imputar",IF(P22&lt;=0.005,"Pagada",IF(E22&lt;Supuestos!$D$6,"Vencida",IF(E22=Supuestos!$D$6,"Vence hoy","Por vencer")))),"")</f>
        <v/>
      </c>
      <c r="T22" s="33">
        <f>IF(AND(Creditos!$C$6&lt;&gt;"",Creditos!$M$6="OK",17&lt;=Creditos!$H$6),IF(P22&gt;0.005,E22,999999),999999)</f>
        <v>999999</v>
      </c>
      <c r="U22" s="1"/>
      <c r="V22" s="1"/>
    </row>
    <row r="23" ht="25.5" customHeight="1">
      <c r="A23" s="1"/>
      <c r="B23" s="1"/>
      <c r="C23" s="33" t="str">
        <f>IF(AND(Creditos!$C$6&lt;&gt;"",Creditos!$M$6="OK",18&lt;=Creditos!$H$6),Creditos!$C$6,"")</f>
        <v/>
      </c>
      <c r="D23" s="33" t="str">
        <f>IF(AND(Creditos!$C$6&lt;&gt;"",Creditos!$M$6="OK",18&lt;=Creditos!$H$6),18,"")</f>
        <v/>
      </c>
      <c r="E23" s="35" t="str">
        <f>IF(AND(Creditos!$C$6&lt;&gt;"",Creditos!$M$6="OK",18&lt;=Creditos!$H$6),EDATE(Creditos!$I$6,17),"")</f>
        <v/>
      </c>
      <c r="F23" s="36" t="str">
        <f>IF(AND(Creditos!$C$6&lt;&gt;"",Creditos!$M$6="OK",18&lt;=Creditos!$H$6),M22,"")</f>
        <v/>
      </c>
      <c r="G23" s="37" t="str">
        <f>IF(AND(Creditos!$C$6&lt;&gt;"",Creditos!$M$6="OK",18&lt;=Creditos!$H$6),Creditos!$N$6,"")</f>
        <v/>
      </c>
      <c r="H23" s="36" t="str">
        <f>IF(AND(Creditos!$C$6&lt;&gt;"",Creditos!$M$6="OK",18&lt;=Creditos!$H$6),ROUND(F23*G23,2),"")</f>
        <v/>
      </c>
      <c r="I23" s="36" t="str">
        <f>IF(AND(Creditos!$C$6&lt;&gt;"",Creditos!$M$6="OK",18&lt;=Creditos!$H$6),IF(18=Creditos!$H$6,F23+H23,MIN(Creditos!$O$6,F23+H23)),"")</f>
        <v/>
      </c>
      <c r="J23" s="36" t="str">
        <f>IF(AND(Creditos!$C$6&lt;&gt;"",Creditos!$M$6="OK",18&lt;=Creditos!$H$6),MIN(F23,MAX(0,I23-H23)),"")</f>
        <v/>
      </c>
      <c r="K23" s="36" t="str">
        <f>IF(AND(Creditos!$C$6&lt;&gt;"",Creditos!$M$6="OK",18&lt;=Creditos!$H$6),Creditos!$J$6+Creditos!$K$6,"")</f>
        <v/>
      </c>
      <c r="L23" s="36" t="str">
        <f>IF(AND(Creditos!$C$6&lt;&gt;"",Creditos!$M$6="OK",18&lt;=Creditos!$H$6),I23+K23,"")</f>
        <v/>
      </c>
      <c r="M23" s="36" t="str">
        <f>IF(AND(Creditos!$C$6&lt;&gt;"",Creditos!$M$6="OK",18&lt;=Creditos!$H$6),MAX(0,F23-J23),"")</f>
        <v/>
      </c>
      <c r="N23" s="36" t="str">
        <f>IF(AND(Creditos!$C$6&lt;&gt;"",Creditos!$M$6="OK",18&lt;=Creditos!$H$6),SUMIFS(Pagos!$F$6:$F$305,Pagos!$C$6:$C$305,C23,Pagos!$D$6:$D$305,D23,Pagos!$E$6:$E$305,"&lt;="&amp;Supuestos!$D$6,Pagos!$H$6:$H$305,"OK"),"")</f>
        <v/>
      </c>
      <c r="O23" s="36" t="str">
        <f>IF(AND(Creditos!$C$6&lt;&gt;"",Creditos!$M$6="OK",18&lt;=Creditos!$H$6),MIN(J23,MAX(0,N23-K23-H23)),"")</f>
        <v/>
      </c>
      <c r="P23" s="36" t="str">
        <f>IF(AND(Creditos!$C$6&lt;&gt;"",Creditos!$M$6="OK",18&lt;=Creditos!$H$6),MAX(0,L23-N23),"")</f>
        <v/>
      </c>
      <c r="Q23" s="39" t="str">
        <f>IF(AND(Creditos!$C$6&lt;&gt;"",Creditos!$M$6="OK",18&lt;=Creditos!$H$6),IF(AND(E23&lt;Supuestos!$D$6,P23&gt;0.005),Supuestos!$D$6-E23,0),"")</f>
        <v/>
      </c>
      <c r="R23" s="36" t="str">
        <f>IF(AND(Creditos!$C$6&lt;&gt;"",Creditos!$M$6="OK",18&lt;=Creditos!$H$6),MAX(0,N23-L23),"")</f>
        <v/>
      </c>
      <c r="S23" s="33" t="str">
        <f>IF(AND(Creditos!$C$6&lt;&gt;"",Creditos!$M$6="OK",18&lt;=Creditos!$H$6),IF(R23&gt;0.005,"Exceso sin imputar",IF(P23&lt;=0.005,"Pagada",IF(E23&lt;Supuestos!$D$6,"Vencida",IF(E23=Supuestos!$D$6,"Vence hoy","Por vencer")))),"")</f>
        <v/>
      </c>
      <c r="T23" s="33">
        <f>IF(AND(Creditos!$C$6&lt;&gt;"",Creditos!$M$6="OK",18&lt;=Creditos!$H$6),IF(P23&gt;0.005,E23,999999),999999)</f>
        <v>999999</v>
      </c>
      <c r="U23" s="1"/>
      <c r="V23" s="1"/>
    </row>
    <row r="24" ht="25.5" customHeight="1">
      <c r="A24" s="1"/>
      <c r="B24" s="1"/>
      <c r="C24" s="33" t="str">
        <f>IF(AND(Creditos!$C$6&lt;&gt;"",Creditos!$M$6="OK",19&lt;=Creditos!$H$6),Creditos!$C$6,"")</f>
        <v/>
      </c>
      <c r="D24" s="33" t="str">
        <f>IF(AND(Creditos!$C$6&lt;&gt;"",Creditos!$M$6="OK",19&lt;=Creditos!$H$6),19,"")</f>
        <v/>
      </c>
      <c r="E24" s="35" t="str">
        <f>IF(AND(Creditos!$C$6&lt;&gt;"",Creditos!$M$6="OK",19&lt;=Creditos!$H$6),EDATE(Creditos!$I$6,18),"")</f>
        <v/>
      </c>
      <c r="F24" s="36" t="str">
        <f>IF(AND(Creditos!$C$6&lt;&gt;"",Creditos!$M$6="OK",19&lt;=Creditos!$H$6),M23,"")</f>
        <v/>
      </c>
      <c r="G24" s="37" t="str">
        <f>IF(AND(Creditos!$C$6&lt;&gt;"",Creditos!$M$6="OK",19&lt;=Creditos!$H$6),Creditos!$N$6,"")</f>
        <v/>
      </c>
      <c r="H24" s="36" t="str">
        <f>IF(AND(Creditos!$C$6&lt;&gt;"",Creditos!$M$6="OK",19&lt;=Creditos!$H$6),ROUND(F24*G24,2),"")</f>
        <v/>
      </c>
      <c r="I24" s="36" t="str">
        <f>IF(AND(Creditos!$C$6&lt;&gt;"",Creditos!$M$6="OK",19&lt;=Creditos!$H$6),IF(19=Creditos!$H$6,F24+H24,MIN(Creditos!$O$6,F24+H24)),"")</f>
        <v/>
      </c>
      <c r="J24" s="36" t="str">
        <f>IF(AND(Creditos!$C$6&lt;&gt;"",Creditos!$M$6="OK",19&lt;=Creditos!$H$6),MIN(F24,MAX(0,I24-H24)),"")</f>
        <v/>
      </c>
      <c r="K24" s="36" t="str">
        <f>IF(AND(Creditos!$C$6&lt;&gt;"",Creditos!$M$6="OK",19&lt;=Creditos!$H$6),Creditos!$J$6+Creditos!$K$6,"")</f>
        <v/>
      </c>
      <c r="L24" s="36" t="str">
        <f>IF(AND(Creditos!$C$6&lt;&gt;"",Creditos!$M$6="OK",19&lt;=Creditos!$H$6),I24+K24,"")</f>
        <v/>
      </c>
      <c r="M24" s="36" t="str">
        <f>IF(AND(Creditos!$C$6&lt;&gt;"",Creditos!$M$6="OK",19&lt;=Creditos!$H$6),MAX(0,F24-J24),"")</f>
        <v/>
      </c>
      <c r="N24" s="36" t="str">
        <f>IF(AND(Creditos!$C$6&lt;&gt;"",Creditos!$M$6="OK",19&lt;=Creditos!$H$6),SUMIFS(Pagos!$F$6:$F$305,Pagos!$C$6:$C$305,C24,Pagos!$D$6:$D$305,D24,Pagos!$E$6:$E$305,"&lt;="&amp;Supuestos!$D$6,Pagos!$H$6:$H$305,"OK"),"")</f>
        <v/>
      </c>
      <c r="O24" s="36" t="str">
        <f>IF(AND(Creditos!$C$6&lt;&gt;"",Creditos!$M$6="OK",19&lt;=Creditos!$H$6),MIN(J24,MAX(0,N24-K24-H24)),"")</f>
        <v/>
      </c>
      <c r="P24" s="36" t="str">
        <f>IF(AND(Creditos!$C$6&lt;&gt;"",Creditos!$M$6="OK",19&lt;=Creditos!$H$6),MAX(0,L24-N24),"")</f>
        <v/>
      </c>
      <c r="Q24" s="39" t="str">
        <f>IF(AND(Creditos!$C$6&lt;&gt;"",Creditos!$M$6="OK",19&lt;=Creditos!$H$6),IF(AND(E24&lt;Supuestos!$D$6,P24&gt;0.005),Supuestos!$D$6-E24,0),"")</f>
        <v/>
      </c>
      <c r="R24" s="36" t="str">
        <f>IF(AND(Creditos!$C$6&lt;&gt;"",Creditos!$M$6="OK",19&lt;=Creditos!$H$6),MAX(0,N24-L24),"")</f>
        <v/>
      </c>
      <c r="S24" s="33" t="str">
        <f>IF(AND(Creditos!$C$6&lt;&gt;"",Creditos!$M$6="OK",19&lt;=Creditos!$H$6),IF(R24&gt;0.005,"Exceso sin imputar",IF(P24&lt;=0.005,"Pagada",IF(E24&lt;Supuestos!$D$6,"Vencida",IF(E24=Supuestos!$D$6,"Vence hoy","Por vencer")))),"")</f>
        <v/>
      </c>
      <c r="T24" s="33">
        <f>IF(AND(Creditos!$C$6&lt;&gt;"",Creditos!$M$6="OK",19&lt;=Creditos!$H$6),IF(P24&gt;0.005,E24,999999),999999)</f>
        <v>999999</v>
      </c>
      <c r="U24" s="1"/>
      <c r="V24" s="1"/>
    </row>
    <row r="25" ht="25.5" customHeight="1">
      <c r="A25" s="1"/>
      <c r="B25" s="1"/>
      <c r="C25" s="33" t="str">
        <f>IF(AND(Creditos!$C$6&lt;&gt;"",Creditos!$M$6="OK",20&lt;=Creditos!$H$6),Creditos!$C$6,"")</f>
        <v/>
      </c>
      <c r="D25" s="33" t="str">
        <f>IF(AND(Creditos!$C$6&lt;&gt;"",Creditos!$M$6="OK",20&lt;=Creditos!$H$6),20,"")</f>
        <v/>
      </c>
      <c r="E25" s="35" t="str">
        <f>IF(AND(Creditos!$C$6&lt;&gt;"",Creditos!$M$6="OK",20&lt;=Creditos!$H$6),EDATE(Creditos!$I$6,19),"")</f>
        <v/>
      </c>
      <c r="F25" s="36" t="str">
        <f>IF(AND(Creditos!$C$6&lt;&gt;"",Creditos!$M$6="OK",20&lt;=Creditos!$H$6),M24,"")</f>
        <v/>
      </c>
      <c r="G25" s="37" t="str">
        <f>IF(AND(Creditos!$C$6&lt;&gt;"",Creditos!$M$6="OK",20&lt;=Creditos!$H$6),Creditos!$N$6,"")</f>
        <v/>
      </c>
      <c r="H25" s="36" t="str">
        <f>IF(AND(Creditos!$C$6&lt;&gt;"",Creditos!$M$6="OK",20&lt;=Creditos!$H$6),ROUND(F25*G25,2),"")</f>
        <v/>
      </c>
      <c r="I25" s="36" t="str">
        <f>IF(AND(Creditos!$C$6&lt;&gt;"",Creditos!$M$6="OK",20&lt;=Creditos!$H$6),IF(20=Creditos!$H$6,F25+H25,MIN(Creditos!$O$6,F25+H25)),"")</f>
        <v/>
      </c>
      <c r="J25" s="36" t="str">
        <f>IF(AND(Creditos!$C$6&lt;&gt;"",Creditos!$M$6="OK",20&lt;=Creditos!$H$6),MIN(F25,MAX(0,I25-H25)),"")</f>
        <v/>
      </c>
      <c r="K25" s="36" t="str">
        <f>IF(AND(Creditos!$C$6&lt;&gt;"",Creditos!$M$6="OK",20&lt;=Creditos!$H$6),Creditos!$J$6+Creditos!$K$6,"")</f>
        <v/>
      </c>
      <c r="L25" s="36" t="str">
        <f>IF(AND(Creditos!$C$6&lt;&gt;"",Creditos!$M$6="OK",20&lt;=Creditos!$H$6),I25+K25,"")</f>
        <v/>
      </c>
      <c r="M25" s="36" t="str">
        <f>IF(AND(Creditos!$C$6&lt;&gt;"",Creditos!$M$6="OK",20&lt;=Creditos!$H$6),MAX(0,F25-J25),"")</f>
        <v/>
      </c>
      <c r="N25" s="36" t="str">
        <f>IF(AND(Creditos!$C$6&lt;&gt;"",Creditos!$M$6="OK",20&lt;=Creditos!$H$6),SUMIFS(Pagos!$F$6:$F$305,Pagos!$C$6:$C$305,C25,Pagos!$D$6:$D$305,D25,Pagos!$E$6:$E$305,"&lt;="&amp;Supuestos!$D$6,Pagos!$H$6:$H$305,"OK"),"")</f>
        <v/>
      </c>
      <c r="O25" s="36" t="str">
        <f>IF(AND(Creditos!$C$6&lt;&gt;"",Creditos!$M$6="OK",20&lt;=Creditos!$H$6),MIN(J25,MAX(0,N25-K25-H25)),"")</f>
        <v/>
      </c>
      <c r="P25" s="36" t="str">
        <f>IF(AND(Creditos!$C$6&lt;&gt;"",Creditos!$M$6="OK",20&lt;=Creditos!$H$6),MAX(0,L25-N25),"")</f>
        <v/>
      </c>
      <c r="Q25" s="39" t="str">
        <f>IF(AND(Creditos!$C$6&lt;&gt;"",Creditos!$M$6="OK",20&lt;=Creditos!$H$6),IF(AND(E25&lt;Supuestos!$D$6,P25&gt;0.005),Supuestos!$D$6-E25,0),"")</f>
        <v/>
      </c>
      <c r="R25" s="36" t="str">
        <f>IF(AND(Creditos!$C$6&lt;&gt;"",Creditos!$M$6="OK",20&lt;=Creditos!$H$6),MAX(0,N25-L25),"")</f>
        <v/>
      </c>
      <c r="S25" s="33" t="str">
        <f>IF(AND(Creditos!$C$6&lt;&gt;"",Creditos!$M$6="OK",20&lt;=Creditos!$H$6),IF(R25&gt;0.005,"Exceso sin imputar",IF(P25&lt;=0.005,"Pagada",IF(E25&lt;Supuestos!$D$6,"Vencida",IF(E25=Supuestos!$D$6,"Vence hoy","Por vencer")))),"")</f>
        <v/>
      </c>
      <c r="T25" s="33">
        <f>IF(AND(Creditos!$C$6&lt;&gt;"",Creditos!$M$6="OK",20&lt;=Creditos!$H$6),IF(P25&gt;0.005,E25,999999),999999)</f>
        <v>999999</v>
      </c>
      <c r="U25" s="1"/>
      <c r="V25" s="1"/>
    </row>
    <row r="26" ht="25.5" customHeight="1">
      <c r="A26" s="1"/>
      <c r="B26" s="1"/>
      <c r="C26" s="33" t="str">
        <f>IF(AND(Creditos!$C$6&lt;&gt;"",Creditos!$M$6="OK",21&lt;=Creditos!$H$6),Creditos!$C$6,"")</f>
        <v/>
      </c>
      <c r="D26" s="33" t="str">
        <f>IF(AND(Creditos!$C$6&lt;&gt;"",Creditos!$M$6="OK",21&lt;=Creditos!$H$6),21,"")</f>
        <v/>
      </c>
      <c r="E26" s="35" t="str">
        <f>IF(AND(Creditos!$C$6&lt;&gt;"",Creditos!$M$6="OK",21&lt;=Creditos!$H$6),EDATE(Creditos!$I$6,20),"")</f>
        <v/>
      </c>
      <c r="F26" s="36" t="str">
        <f>IF(AND(Creditos!$C$6&lt;&gt;"",Creditos!$M$6="OK",21&lt;=Creditos!$H$6),M25,"")</f>
        <v/>
      </c>
      <c r="G26" s="37" t="str">
        <f>IF(AND(Creditos!$C$6&lt;&gt;"",Creditos!$M$6="OK",21&lt;=Creditos!$H$6),Creditos!$N$6,"")</f>
        <v/>
      </c>
      <c r="H26" s="36" t="str">
        <f>IF(AND(Creditos!$C$6&lt;&gt;"",Creditos!$M$6="OK",21&lt;=Creditos!$H$6),ROUND(F26*G26,2),"")</f>
        <v/>
      </c>
      <c r="I26" s="36" t="str">
        <f>IF(AND(Creditos!$C$6&lt;&gt;"",Creditos!$M$6="OK",21&lt;=Creditos!$H$6),IF(21=Creditos!$H$6,F26+H26,MIN(Creditos!$O$6,F26+H26)),"")</f>
        <v/>
      </c>
      <c r="J26" s="36" t="str">
        <f>IF(AND(Creditos!$C$6&lt;&gt;"",Creditos!$M$6="OK",21&lt;=Creditos!$H$6),MIN(F26,MAX(0,I26-H26)),"")</f>
        <v/>
      </c>
      <c r="K26" s="36" t="str">
        <f>IF(AND(Creditos!$C$6&lt;&gt;"",Creditos!$M$6="OK",21&lt;=Creditos!$H$6),Creditos!$J$6+Creditos!$K$6,"")</f>
        <v/>
      </c>
      <c r="L26" s="36" t="str">
        <f>IF(AND(Creditos!$C$6&lt;&gt;"",Creditos!$M$6="OK",21&lt;=Creditos!$H$6),I26+K26,"")</f>
        <v/>
      </c>
      <c r="M26" s="36" t="str">
        <f>IF(AND(Creditos!$C$6&lt;&gt;"",Creditos!$M$6="OK",21&lt;=Creditos!$H$6),MAX(0,F26-J26),"")</f>
        <v/>
      </c>
      <c r="N26" s="36" t="str">
        <f>IF(AND(Creditos!$C$6&lt;&gt;"",Creditos!$M$6="OK",21&lt;=Creditos!$H$6),SUMIFS(Pagos!$F$6:$F$305,Pagos!$C$6:$C$305,C26,Pagos!$D$6:$D$305,D26,Pagos!$E$6:$E$305,"&lt;="&amp;Supuestos!$D$6,Pagos!$H$6:$H$305,"OK"),"")</f>
        <v/>
      </c>
      <c r="O26" s="36" t="str">
        <f>IF(AND(Creditos!$C$6&lt;&gt;"",Creditos!$M$6="OK",21&lt;=Creditos!$H$6),MIN(J26,MAX(0,N26-K26-H26)),"")</f>
        <v/>
      </c>
      <c r="P26" s="36" t="str">
        <f>IF(AND(Creditos!$C$6&lt;&gt;"",Creditos!$M$6="OK",21&lt;=Creditos!$H$6),MAX(0,L26-N26),"")</f>
        <v/>
      </c>
      <c r="Q26" s="39" t="str">
        <f>IF(AND(Creditos!$C$6&lt;&gt;"",Creditos!$M$6="OK",21&lt;=Creditos!$H$6),IF(AND(E26&lt;Supuestos!$D$6,P26&gt;0.005),Supuestos!$D$6-E26,0),"")</f>
        <v/>
      </c>
      <c r="R26" s="36" t="str">
        <f>IF(AND(Creditos!$C$6&lt;&gt;"",Creditos!$M$6="OK",21&lt;=Creditos!$H$6),MAX(0,N26-L26),"")</f>
        <v/>
      </c>
      <c r="S26" s="33" t="str">
        <f>IF(AND(Creditos!$C$6&lt;&gt;"",Creditos!$M$6="OK",21&lt;=Creditos!$H$6),IF(R26&gt;0.005,"Exceso sin imputar",IF(P26&lt;=0.005,"Pagada",IF(E26&lt;Supuestos!$D$6,"Vencida",IF(E26=Supuestos!$D$6,"Vence hoy","Por vencer")))),"")</f>
        <v/>
      </c>
      <c r="T26" s="33">
        <f>IF(AND(Creditos!$C$6&lt;&gt;"",Creditos!$M$6="OK",21&lt;=Creditos!$H$6),IF(P26&gt;0.005,E26,999999),999999)</f>
        <v>999999</v>
      </c>
      <c r="U26" s="1"/>
      <c r="V26" s="1"/>
    </row>
    <row r="27" ht="25.5" customHeight="1">
      <c r="A27" s="1"/>
      <c r="B27" s="1"/>
      <c r="C27" s="33" t="str">
        <f>IF(AND(Creditos!$C$6&lt;&gt;"",Creditos!$M$6="OK",22&lt;=Creditos!$H$6),Creditos!$C$6,"")</f>
        <v/>
      </c>
      <c r="D27" s="33" t="str">
        <f>IF(AND(Creditos!$C$6&lt;&gt;"",Creditos!$M$6="OK",22&lt;=Creditos!$H$6),22,"")</f>
        <v/>
      </c>
      <c r="E27" s="35" t="str">
        <f>IF(AND(Creditos!$C$6&lt;&gt;"",Creditos!$M$6="OK",22&lt;=Creditos!$H$6),EDATE(Creditos!$I$6,21),"")</f>
        <v/>
      </c>
      <c r="F27" s="36" t="str">
        <f>IF(AND(Creditos!$C$6&lt;&gt;"",Creditos!$M$6="OK",22&lt;=Creditos!$H$6),M26,"")</f>
        <v/>
      </c>
      <c r="G27" s="37" t="str">
        <f>IF(AND(Creditos!$C$6&lt;&gt;"",Creditos!$M$6="OK",22&lt;=Creditos!$H$6),Creditos!$N$6,"")</f>
        <v/>
      </c>
      <c r="H27" s="36" t="str">
        <f>IF(AND(Creditos!$C$6&lt;&gt;"",Creditos!$M$6="OK",22&lt;=Creditos!$H$6),ROUND(F27*G27,2),"")</f>
        <v/>
      </c>
      <c r="I27" s="36" t="str">
        <f>IF(AND(Creditos!$C$6&lt;&gt;"",Creditos!$M$6="OK",22&lt;=Creditos!$H$6),IF(22=Creditos!$H$6,F27+H27,MIN(Creditos!$O$6,F27+H27)),"")</f>
        <v/>
      </c>
      <c r="J27" s="36" t="str">
        <f>IF(AND(Creditos!$C$6&lt;&gt;"",Creditos!$M$6="OK",22&lt;=Creditos!$H$6),MIN(F27,MAX(0,I27-H27)),"")</f>
        <v/>
      </c>
      <c r="K27" s="36" t="str">
        <f>IF(AND(Creditos!$C$6&lt;&gt;"",Creditos!$M$6="OK",22&lt;=Creditos!$H$6),Creditos!$J$6+Creditos!$K$6,"")</f>
        <v/>
      </c>
      <c r="L27" s="36" t="str">
        <f>IF(AND(Creditos!$C$6&lt;&gt;"",Creditos!$M$6="OK",22&lt;=Creditos!$H$6),I27+K27,"")</f>
        <v/>
      </c>
      <c r="M27" s="36" t="str">
        <f>IF(AND(Creditos!$C$6&lt;&gt;"",Creditos!$M$6="OK",22&lt;=Creditos!$H$6),MAX(0,F27-J27),"")</f>
        <v/>
      </c>
      <c r="N27" s="36" t="str">
        <f>IF(AND(Creditos!$C$6&lt;&gt;"",Creditos!$M$6="OK",22&lt;=Creditos!$H$6),SUMIFS(Pagos!$F$6:$F$305,Pagos!$C$6:$C$305,C27,Pagos!$D$6:$D$305,D27,Pagos!$E$6:$E$305,"&lt;="&amp;Supuestos!$D$6,Pagos!$H$6:$H$305,"OK"),"")</f>
        <v/>
      </c>
      <c r="O27" s="36" t="str">
        <f>IF(AND(Creditos!$C$6&lt;&gt;"",Creditos!$M$6="OK",22&lt;=Creditos!$H$6),MIN(J27,MAX(0,N27-K27-H27)),"")</f>
        <v/>
      </c>
      <c r="P27" s="36" t="str">
        <f>IF(AND(Creditos!$C$6&lt;&gt;"",Creditos!$M$6="OK",22&lt;=Creditos!$H$6),MAX(0,L27-N27),"")</f>
        <v/>
      </c>
      <c r="Q27" s="39" t="str">
        <f>IF(AND(Creditos!$C$6&lt;&gt;"",Creditos!$M$6="OK",22&lt;=Creditos!$H$6),IF(AND(E27&lt;Supuestos!$D$6,P27&gt;0.005),Supuestos!$D$6-E27,0),"")</f>
        <v/>
      </c>
      <c r="R27" s="36" t="str">
        <f>IF(AND(Creditos!$C$6&lt;&gt;"",Creditos!$M$6="OK",22&lt;=Creditos!$H$6),MAX(0,N27-L27),"")</f>
        <v/>
      </c>
      <c r="S27" s="33" t="str">
        <f>IF(AND(Creditos!$C$6&lt;&gt;"",Creditos!$M$6="OK",22&lt;=Creditos!$H$6),IF(R27&gt;0.005,"Exceso sin imputar",IF(P27&lt;=0.005,"Pagada",IF(E27&lt;Supuestos!$D$6,"Vencida",IF(E27=Supuestos!$D$6,"Vence hoy","Por vencer")))),"")</f>
        <v/>
      </c>
      <c r="T27" s="33">
        <f>IF(AND(Creditos!$C$6&lt;&gt;"",Creditos!$M$6="OK",22&lt;=Creditos!$H$6),IF(P27&gt;0.005,E27,999999),999999)</f>
        <v>999999</v>
      </c>
      <c r="U27" s="1"/>
      <c r="V27" s="1"/>
    </row>
    <row r="28" ht="25.5" customHeight="1">
      <c r="A28" s="1"/>
      <c r="B28" s="1"/>
      <c r="C28" s="33" t="str">
        <f>IF(AND(Creditos!$C$6&lt;&gt;"",Creditos!$M$6="OK",23&lt;=Creditos!$H$6),Creditos!$C$6,"")</f>
        <v/>
      </c>
      <c r="D28" s="33" t="str">
        <f>IF(AND(Creditos!$C$6&lt;&gt;"",Creditos!$M$6="OK",23&lt;=Creditos!$H$6),23,"")</f>
        <v/>
      </c>
      <c r="E28" s="35" t="str">
        <f>IF(AND(Creditos!$C$6&lt;&gt;"",Creditos!$M$6="OK",23&lt;=Creditos!$H$6),EDATE(Creditos!$I$6,22),"")</f>
        <v/>
      </c>
      <c r="F28" s="36" t="str">
        <f>IF(AND(Creditos!$C$6&lt;&gt;"",Creditos!$M$6="OK",23&lt;=Creditos!$H$6),M27,"")</f>
        <v/>
      </c>
      <c r="G28" s="37" t="str">
        <f>IF(AND(Creditos!$C$6&lt;&gt;"",Creditos!$M$6="OK",23&lt;=Creditos!$H$6),Creditos!$N$6,"")</f>
        <v/>
      </c>
      <c r="H28" s="36" t="str">
        <f>IF(AND(Creditos!$C$6&lt;&gt;"",Creditos!$M$6="OK",23&lt;=Creditos!$H$6),ROUND(F28*G28,2),"")</f>
        <v/>
      </c>
      <c r="I28" s="36" t="str">
        <f>IF(AND(Creditos!$C$6&lt;&gt;"",Creditos!$M$6="OK",23&lt;=Creditos!$H$6),IF(23=Creditos!$H$6,F28+H28,MIN(Creditos!$O$6,F28+H28)),"")</f>
        <v/>
      </c>
      <c r="J28" s="36" t="str">
        <f>IF(AND(Creditos!$C$6&lt;&gt;"",Creditos!$M$6="OK",23&lt;=Creditos!$H$6),MIN(F28,MAX(0,I28-H28)),"")</f>
        <v/>
      </c>
      <c r="K28" s="36" t="str">
        <f>IF(AND(Creditos!$C$6&lt;&gt;"",Creditos!$M$6="OK",23&lt;=Creditos!$H$6),Creditos!$J$6+Creditos!$K$6,"")</f>
        <v/>
      </c>
      <c r="L28" s="36" t="str">
        <f>IF(AND(Creditos!$C$6&lt;&gt;"",Creditos!$M$6="OK",23&lt;=Creditos!$H$6),I28+K28,"")</f>
        <v/>
      </c>
      <c r="M28" s="36" t="str">
        <f>IF(AND(Creditos!$C$6&lt;&gt;"",Creditos!$M$6="OK",23&lt;=Creditos!$H$6),MAX(0,F28-J28),"")</f>
        <v/>
      </c>
      <c r="N28" s="36" t="str">
        <f>IF(AND(Creditos!$C$6&lt;&gt;"",Creditos!$M$6="OK",23&lt;=Creditos!$H$6),SUMIFS(Pagos!$F$6:$F$305,Pagos!$C$6:$C$305,C28,Pagos!$D$6:$D$305,D28,Pagos!$E$6:$E$305,"&lt;="&amp;Supuestos!$D$6,Pagos!$H$6:$H$305,"OK"),"")</f>
        <v/>
      </c>
      <c r="O28" s="36" t="str">
        <f>IF(AND(Creditos!$C$6&lt;&gt;"",Creditos!$M$6="OK",23&lt;=Creditos!$H$6),MIN(J28,MAX(0,N28-K28-H28)),"")</f>
        <v/>
      </c>
      <c r="P28" s="36" t="str">
        <f>IF(AND(Creditos!$C$6&lt;&gt;"",Creditos!$M$6="OK",23&lt;=Creditos!$H$6),MAX(0,L28-N28),"")</f>
        <v/>
      </c>
      <c r="Q28" s="39" t="str">
        <f>IF(AND(Creditos!$C$6&lt;&gt;"",Creditos!$M$6="OK",23&lt;=Creditos!$H$6),IF(AND(E28&lt;Supuestos!$D$6,P28&gt;0.005),Supuestos!$D$6-E28,0),"")</f>
        <v/>
      </c>
      <c r="R28" s="36" t="str">
        <f>IF(AND(Creditos!$C$6&lt;&gt;"",Creditos!$M$6="OK",23&lt;=Creditos!$H$6),MAX(0,N28-L28),"")</f>
        <v/>
      </c>
      <c r="S28" s="33" t="str">
        <f>IF(AND(Creditos!$C$6&lt;&gt;"",Creditos!$M$6="OK",23&lt;=Creditos!$H$6),IF(R28&gt;0.005,"Exceso sin imputar",IF(P28&lt;=0.005,"Pagada",IF(E28&lt;Supuestos!$D$6,"Vencida",IF(E28=Supuestos!$D$6,"Vence hoy","Por vencer")))),"")</f>
        <v/>
      </c>
      <c r="T28" s="33">
        <f>IF(AND(Creditos!$C$6&lt;&gt;"",Creditos!$M$6="OK",23&lt;=Creditos!$H$6),IF(P28&gt;0.005,E28,999999),999999)</f>
        <v>999999</v>
      </c>
      <c r="U28" s="1"/>
      <c r="V28" s="1"/>
    </row>
    <row r="29" ht="25.5" customHeight="1">
      <c r="A29" s="1"/>
      <c r="B29" s="1"/>
      <c r="C29" s="33" t="str">
        <f>IF(AND(Creditos!$C$6&lt;&gt;"",Creditos!$M$6="OK",24&lt;=Creditos!$H$6),Creditos!$C$6,"")</f>
        <v/>
      </c>
      <c r="D29" s="33" t="str">
        <f>IF(AND(Creditos!$C$6&lt;&gt;"",Creditos!$M$6="OK",24&lt;=Creditos!$H$6),24,"")</f>
        <v/>
      </c>
      <c r="E29" s="35" t="str">
        <f>IF(AND(Creditos!$C$6&lt;&gt;"",Creditos!$M$6="OK",24&lt;=Creditos!$H$6),EDATE(Creditos!$I$6,23),"")</f>
        <v/>
      </c>
      <c r="F29" s="36" t="str">
        <f>IF(AND(Creditos!$C$6&lt;&gt;"",Creditos!$M$6="OK",24&lt;=Creditos!$H$6),M28,"")</f>
        <v/>
      </c>
      <c r="G29" s="37" t="str">
        <f>IF(AND(Creditos!$C$6&lt;&gt;"",Creditos!$M$6="OK",24&lt;=Creditos!$H$6),Creditos!$N$6,"")</f>
        <v/>
      </c>
      <c r="H29" s="36" t="str">
        <f>IF(AND(Creditos!$C$6&lt;&gt;"",Creditos!$M$6="OK",24&lt;=Creditos!$H$6),ROUND(F29*G29,2),"")</f>
        <v/>
      </c>
      <c r="I29" s="36" t="str">
        <f>IF(AND(Creditos!$C$6&lt;&gt;"",Creditos!$M$6="OK",24&lt;=Creditos!$H$6),IF(24=Creditos!$H$6,F29+H29,MIN(Creditos!$O$6,F29+H29)),"")</f>
        <v/>
      </c>
      <c r="J29" s="36" t="str">
        <f>IF(AND(Creditos!$C$6&lt;&gt;"",Creditos!$M$6="OK",24&lt;=Creditos!$H$6),MIN(F29,MAX(0,I29-H29)),"")</f>
        <v/>
      </c>
      <c r="K29" s="36" t="str">
        <f>IF(AND(Creditos!$C$6&lt;&gt;"",Creditos!$M$6="OK",24&lt;=Creditos!$H$6),Creditos!$J$6+Creditos!$K$6,"")</f>
        <v/>
      </c>
      <c r="L29" s="36" t="str">
        <f>IF(AND(Creditos!$C$6&lt;&gt;"",Creditos!$M$6="OK",24&lt;=Creditos!$H$6),I29+K29,"")</f>
        <v/>
      </c>
      <c r="M29" s="36" t="str">
        <f>IF(AND(Creditos!$C$6&lt;&gt;"",Creditos!$M$6="OK",24&lt;=Creditos!$H$6),MAX(0,F29-J29),"")</f>
        <v/>
      </c>
      <c r="N29" s="36" t="str">
        <f>IF(AND(Creditos!$C$6&lt;&gt;"",Creditos!$M$6="OK",24&lt;=Creditos!$H$6),SUMIFS(Pagos!$F$6:$F$305,Pagos!$C$6:$C$305,C29,Pagos!$D$6:$D$305,D29,Pagos!$E$6:$E$305,"&lt;="&amp;Supuestos!$D$6,Pagos!$H$6:$H$305,"OK"),"")</f>
        <v/>
      </c>
      <c r="O29" s="36" t="str">
        <f>IF(AND(Creditos!$C$6&lt;&gt;"",Creditos!$M$6="OK",24&lt;=Creditos!$H$6),MIN(J29,MAX(0,N29-K29-H29)),"")</f>
        <v/>
      </c>
      <c r="P29" s="36" t="str">
        <f>IF(AND(Creditos!$C$6&lt;&gt;"",Creditos!$M$6="OK",24&lt;=Creditos!$H$6),MAX(0,L29-N29),"")</f>
        <v/>
      </c>
      <c r="Q29" s="39" t="str">
        <f>IF(AND(Creditos!$C$6&lt;&gt;"",Creditos!$M$6="OK",24&lt;=Creditos!$H$6),IF(AND(E29&lt;Supuestos!$D$6,P29&gt;0.005),Supuestos!$D$6-E29,0),"")</f>
        <v/>
      </c>
      <c r="R29" s="36" t="str">
        <f>IF(AND(Creditos!$C$6&lt;&gt;"",Creditos!$M$6="OK",24&lt;=Creditos!$H$6),MAX(0,N29-L29),"")</f>
        <v/>
      </c>
      <c r="S29" s="33" t="str">
        <f>IF(AND(Creditos!$C$6&lt;&gt;"",Creditos!$M$6="OK",24&lt;=Creditos!$H$6),IF(R29&gt;0.005,"Exceso sin imputar",IF(P29&lt;=0.005,"Pagada",IF(E29&lt;Supuestos!$D$6,"Vencida",IF(E29=Supuestos!$D$6,"Vence hoy","Por vencer")))),"")</f>
        <v/>
      </c>
      <c r="T29" s="33">
        <f>IF(AND(Creditos!$C$6&lt;&gt;"",Creditos!$M$6="OK",24&lt;=Creditos!$H$6),IF(P29&gt;0.005,E29,999999),999999)</f>
        <v>999999</v>
      </c>
      <c r="U29" s="1"/>
      <c r="V29" s="1"/>
    </row>
    <row r="30" ht="25.5" customHeight="1">
      <c r="A30" s="1"/>
      <c r="B30" s="1"/>
      <c r="C30" s="33" t="str">
        <f>IF(AND(Creditos!$C$6&lt;&gt;"",Creditos!$M$6="OK",25&lt;=Creditos!$H$6),Creditos!$C$6,"")</f>
        <v/>
      </c>
      <c r="D30" s="33" t="str">
        <f>IF(AND(Creditos!$C$6&lt;&gt;"",Creditos!$M$6="OK",25&lt;=Creditos!$H$6),25,"")</f>
        <v/>
      </c>
      <c r="E30" s="35" t="str">
        <f>IF(AND(Creditos!$C$6&lt;&gt;"",Creditos!$M$6="OK",25&lt;=Creditos!$H$6),EDATE(Creditos!$I$6,24),"")</f>
        <v/>
      </c>
      <c r="F30" s="36" t="str">
        <f>IF(AND(Creditos!$C$6&lt;&gt;"",Creditos!$M$6="OK",25&lt;=Creditos!$H$6),M29,"")</f>
        <v/>
      </c>
      <c r="G30" s="37" t="str">
        <f>IF(AND(Creditos!$C$6&lt;&gt;"",Creditos!$M$6="OK",25&lt;=Creditos!$H$6),Creditos!$N$6,"")</f>
        <v/>
      </c>
      <c r="H30" s="36" t="str">
        <f>IF(AND(Creditos!$C$6&lt;&gt;"",Creditos!$M$6="OK",25&lt;=Creditos!$H$6),ROUND(F30*G30,2),"")</f>
        <v/>
      </c>
      <c r="I30" s="36" t="str">
        <f>IF(AND(Creditos!$C$6&lt;&gt;"",Creditos!$M$6="OK",25&lt;=Creditos!$H$6),IF(25=Creditos!$H$6,F30+H30,MIN(Creditos!$O$6,F30+H30)),"")</f>
        <v/>
      </c>
      <c r="J30" s="36" t="str">
        <f>IF(AND(Creditos!$C$6&lt;&gt;"",Creditos!$M$6="OK",25&lt;=Creditos!$H$6),MIN(F30,MAX(0,I30-H30)),"")</f>
        <v/>
      </c>
      <c r="K30" s="36" t="str">
        <f>IF(AND(Creditos!$C$6&lt;&gt;"",Creditos!$M$6="OK",25&lt;=Creditos!$H$6),Creditos!$J$6+Creditos!$K$6,"")</f>
        <v/>
      </c>
      <c r="L30" s="36" t="str">
        <f>IF(AND(Creditos!$C$6&lt;&gt;"",Creditos!$M$6="OK",25&lt;=Creditos!$H$6),I30+K30,"")</f>
        <v/>
      </c>
      <c r="M30" s="36" t="str">
        <f>IF(AND(Creditos!$C$6&lt;&gt;"",Creditos!$M$6="OK",25&lt;=Creditos!$H$6),MAX(0,F30-J30),"")</f>
        <v/>
      </c>
      <c r="N30" s="36" t="str">
        <f>IF(AND(Creditos!$C$6&lt;&gt;"",Creditos!$M$6="OK",25&lt;=Creditos!$H$6),SUMIFS(Pagos!$F$6:$F$305,Pagos!$C$6:$C$305,C30,Pagos!$D$6:$D$305,D30,Pagos!$E$6:$E$305,"&lt;="&amp;Supuestos!$D$6,Pagos!$H$6:$H$305,"OK"),"")</f>
        <v/>
      </c>
      <c r="O30" s="36" t="str">
        <f>IF(AND(Creditos!$C$6&lt;&gt;"",Creditos!$M$6="OK",25&lt;=Creditos!$H$6),MIN(J30,MAX(0,N30-K30-H30)),"")</f>
        <v/>
      </c>
      <c r="P30" s="36" t="str">
        <f>IF(AND(Creditos!$C$6&lt;&gt;"",Creditos!$M$6="OK",25&lt;=Creditos!$H$6),MAX(0,L30-N30),"")</f>
        <v/>
      </c>
      <c r="Q30" s="39" t="str">
        <f>IF(AND(Creditos!$C$6&lt;&gt;"",Creditos!$M$6="OK",25&lt;=Creditos!$H$6),IF(AND(E30&lt;Supuestos!$D$6,P30&gt;0.005),Supuestos!$D$6-E30,0),"")</f>
        <v/>
      </c>
      <c r="R30" s="36" t="str">
        <f>IF(AND(Creditos!$C$6&lt;&gt;"",Creditos!$M$6="OK",25&lt;=Creditos!$H$6),MAX(0,N30-L30),"")</f>
        <v/>
      </c>
      <c r="S30" s="33" t="str">
        <f>IF(AND(Creditos!$C$6&lt;&gt;"",Creditos!$M$6="OK",25&lt;=Creditos!$H$6),IF(R30&gt;0.005,"Exceso sin imputar",IF(P30&lt;=0.005,"Pagada",IF(E30&lt;Supuestos!$D$6,"Vencida",IF(E30=Supuestos!$D$6,"Vence hoy","Por vencer")))),"")</f>
        <v/>
      </c>
      <c r="T30" s="33">
        <f>IF(AND(Creditos!$C$6&lt;&gt;"",Creditos!$M$6="OK",25&lt;=Creditos!$H$6),IF(P30&gt;0.005,E30,999999),999999)</f>
        <v>999999</v>
      </c>
      <c r="U30" s="1"/>
      <c r="V30" s="1"/>
    </row>
    <row r="31" ht="25.5" customHeight="1">
      <c r="A31" s="1"/>
      <c r="B31" s="1"/>
      <c r="C31" s="33" t="str">
        <f>IF(AND(Creditos!$C$6&lt;&gt;"",Creditos!$M$6="OK",26&lt;=Creditos!$H$6),Creditos!$C$6,"")</f>
        <v/>
      </c>
      <c r="D31" s="33" t="str">
        <f>IF(AND(Creditos!$C$6&lt;&gt;"",Creditos!$M$6="OK",26&lt;=Creditos!$H$6),26,"")</f>
        <v/>
      </c>
      <c r="E31" s="35" t="str">
        <f>IF(AND(Creditos!$C$6&lt;&gt;"",Creditos!$M$6="OK",26&lt;=Creditos!$H$6),EDATE(Creditos!$I$6,25),"")</f>
        <v/>
      </c>
      <c r="F31" s="36" t="str">
        <f>IF(AND(Creditos!$C$6&lt;&gt;"",Creditos!$M$6="OK",26&lt;=Creditos!$H$6),M30,"")</f>
        <v/>
      </c>
      <c r="G31" s="37" t="str">
        <f>IF(AND(Creditos!$C$6&lt;&gt;"",Creditos!$M$6="OK",26&lt;=Creditos!$H$6),Creditos!$N$6,"")</f>
        <v/>
      </c>
      <c r="H31" s="36" t="str">
        <f>IF(AND(Creditos!$C$6&lt;&gt;"",Creditos!$M$6="OK",26&lt;=Creditos!$H$6),ROUND(F31*G31,2),"")</f>
        <v/>
      </c>
      <c r="I31" s="36" t="str">
        <f>IF(AND(Creditos!$C$6&lt;&gt;"",Creditos!$M$6="OK",26&lt;=Creditos!$H$6),IF(26=Creditos!$H$6,F31+H31,MIN(Creditos!$O$6,F31+H31)),"")</f>
        <v/>
      </c>
      <c r="J31" s="36" t="str">
        <f>IF(AND(Creditos!$C$6&lt;&gt;"",Creditos!$M$6="OK",26&lt;=Creditos!$H$6),MIN(F31,MAX(0,I31-H31)),"")</f>
        <v/>
      </c>
      <c r="K31" s="36" t="str">
        <f>IF(AND(Creditos!$C$6&lt;&gt;"",Creditos!$M$6="OK",26&lt;=Creditos!$H$6),Creditos!$J$6+Creditos!$K$6,"")</f>
        <v/>
      </c>
      <c r="L31" s="36" t="str">
        <f>IF(AND(Creditos!$C$6&lt;&gt;"",Creditos!$M$6="OK",26&lt;=Creditos!$H$6),I31+K31,"")</f>
        <v/>
      </c>
      <c r="M31" s="36" t="str">
        <f>IF(AND(Creditos!$C$6&lt;&gt;"",Creditos!$M$6="OK",26&lt;=Creditos!$H$6),MAX(0,F31-J31),"")</f>
        <v/>
      </c>
      <c r="N31" s="36" t="str">
        <f>IF(AND(Creditos!$C$6&lt;&gt;"",Creditos!$M$6="OK",26&lt;=Creditos!$H$6),SUMIFS(Pagos!$F$6:$F$305,Pagos!$C$6:$C$305,C31,Pagos!$D$6:$D$305,D31,Pagos!$E$6:$E$305,"&lt;="&amp;Supuestos!$D$6,Pagos!$H$6:$H$305,"OK"),"")</f>
        <v/>
      </c>
      <c r="O31" s="36" t="str">
        <f>IF(AND(Creditos!$C$6&lt;&gt;"",Creditos!$M$6="OK",26&lt;=Creditos!$H$6),MIN(J31,MAX(0,N31-K31-H31)),"")</f>
        <v/>
      </c>
      <c r="P31" s="36" t="str">
        <f>IF(AND(Creditos!$C$6&lt;&gt;"",Creditos!$M$6="OK",26&lt;=Creditos!$H$6),MAX(0,L31-N31),"")</f>
        <v/>
      </c>
      <c r="Q31" s="39" t="str">
        <f>IF(AND(Creditos!$C$6&lt;&gt;"",Creditos!$M$6="OK",26&lt;=Creditos!$H$6),IF(AND(E31&lt;Supuestos!$D$6,P31&gt;0.005),Supuestos!$D$6-E31,0),"")</f>
        <v/>
      </c>
      <c r="R31" s="36" t="str">
        <f>IF(AND(Creditos!$C$6&lt;&gt;"",Creditos!$M$6="OK",26&lt;=Creditos!$H$6),MAX(0,N31-L31),"")</f>
        <v/>
      </c>
      <c r="S31" s="33" t="str">
        <f>IF(AND(Creditos!$C$6&lt;&gt;"",Creditos!$M$6="OK",26&lt;=Creditos!$H$6),IF(R31&gt;0.005,"Exceso sin imputar",IF(P31&lt;=0.005,"Pagada",IF(E31&lt;Supuestos!$D$6,"Vencida",IF(E31=Supuestos!$D$6,"Vence hoy","Por vencer")))),"")</f>
        <v/>
      </c>
      <c r="T31" s="33">
        <f>IF(AND(Creditos!$C$6&lt;&gt;"",Creditos!$M$6="OK",26&lt;=Creditos!$H$6),IF(P31&gt;0.005,E31,999999),999999)</f>
        <v>999999</v>
      </c>
      <c r="U31" s="1"/>
      <c r="V31" s="1"/>
    </row>
    <row r="32" ht="25.5" customHeight="1">
      <c r="A32" s="1"/>
      <c r="B32" s="1"/>
      <c r="C32" s="33" t="str">
        <f>IF(AND(Creditos!$C$6&lt;&gt;"",Creditos!$M$6="OK",27&lt;=Creditos!$H$6),Creditos!$C$6,"")</f>
        <v/>
      </c>
      <c r="D32" s="33" t="str">
        <f>IF(AND(Creditos!$C$6&lt;&gt;"",Creditos!$M$6="OK",27&lt;=Creditos!$H$6),27,"")</f>
        <v/>
      </c>
      <c r="E32" s="35" t="str">
        <f>IF(AND(Creditos!$C$6&lt;&gt;"",Creditos!$M$6="OK",27&lt;=Creditos!$H$6),EDATE(Creditos!$I$6,26),"")</f>
        <v/>
      </c>
      <c r="F32" s="36" t="str">
        <f>IF(AND(Creditos!$C$6&lt;&gt;"",Creditos!$M$6="OK",27&lt;=Creditos!$H$6),M31,"")</f>
        <v/>
      </c>
      <c r="G32" s="37" t="str">
        <f>IF(AND(Creditos!$C$6&lt;&gt;"",Creditos!$M$6="OK",27&lt;=Creditos!$H$6),Creditos!$N$6,"")</f>
        <v/>
      </c>
      <c r="H32" s="36" t="str">
        <f>IF(AND(Creditos!$C$6&lt;&gt;"",Creditos!$M$6="OK",27&lt;=Creditos!$H$6),ROUND(F32*G32,2),"")</f>
        <v/>
      </c>
      <c r="I32" s="36" t="str">
        <f>IF(AND(Creditos!$C$6&lt;&gt;"",Creditos!$M$6="OK",27&lt;=Creditos!$H$6),IF(27=Creditos!$H$6,F32+H32,MIN(Creditos!$O$6,F32+H32)),"")</f>
        <v/>
      </c>
      <c r="J32" s="36" t="str">
        <f>IF(AND(Creditos!$C$6&lt;&gt;"",Creditos!$M$6="OK",27&lt;=Creditos!$H$6),MIN(F32,MAX(0,I32-H32)),"")</f>
        <v/>
      </c>
      <c r="K32" s="36" t="str">
        <f>IF(AND(Creditos!$C$6&lt;&gt;"",Creditos!$M$6="OK",27&lt;=Creditos!$H$6),Creditos!$J$6+Creditos!$K$6,"")</f>
        <v/>
      </c>
      <c r="L32" s="36" t="str">
        <f>IF(AND(Creditos!$C$6&lt;&gt;"",Creditos!$M$6="OK",27&lt;=Creditos!$H$6),I32+K32,"")</f>
        <v/>
      </c>
      <c r="M32" s="36" t="str">
        <f>IF(AND(Creditos!$C$6&lt;&gt;"",Creditos!$M$6="OK",27&lt;=Creditos!$H$6),MAX(0,F32-J32),"")</f>
        <v/>
      </c>
      <c r="N32" s="36" t="str">
        <f>IF(AND(Creditos!$C$6&lt;&gt;"",Creditos!$M$6="OK",27&lt;=Creditos!$H$6),SUMIFS(Pagos!$F$6:$F$305,Pagos!$C$6:$C$305,C32,Pagos!$D$6:$D$305,D32,Pagos!$E$6:$E$305,"&lt;="&amp;Supuestos!$D$6,Pagos!$H$6:$H$305,"OK"),"")</f>
        <v/>
      </c>
      <c r="O32" s="36" t="str">
        <f>IF(AND(Creditos!$C$6&lt;&gt;"",Creditos!$M$6="OK",27&lt;=Creditos!$H$6),MIN(J32,MAX(0,N32-K32-H32)),"")</f>
        <v/>
      </c>
      <c r="P32" s="36" t="str">
        <f>IF(AND(Creditos!$C$6&lt;&gt;"",Creditos!$M$6="OK",27&lt;=Creditos!$H$6),MAX(0,L32-N32),"")</f>
        <v/>
      </c>
      <c r="Q32" s="39" t="str">
        <f>IF(AND(Creditos!$C$6&lt;&gt;"",Creditos!$M$6="OK",27&lt;=Creditos!$H$6),IF(AND(E32&lt;Supuestos!$D$6,P32&gt;0.005),Supuestos!$D$6-E32,0),"")</f>
        <v/>
      </c>
      <c r="R32" s="36" t="str">
        <f>IF(AND(Creditos!$C$6&lt;&gt;"",Creditos!$M$6="OK",27&lt;=Creditos!$H$6),MAX(0,N32-L32),"")</f>
        <v/>
      </c>
      <c r="S32" s="33" t="str">
        <f>IF(AND(Creditos!$C$6&lt;&gt;"",Creditos!$M$6="OK",27&lt;=Creditos!$H$6),IF(R32&gt;0.005,"Exceso sin imputar",IF(P32&lt;=0.005,"Pagada",IF(E32&lt;Supuestos!$D$6,"Vencida",IF(E32=Supuestos!$D$6,"Vence hoy","Por vencer")))),"")</f>
        <v/>
      </c>
      <c r="T32" s="33">
        <f>IF(AND(Creditos!$C$6&lt;&gt;"",Creditos!$M$6="OK",27&lt;=Creditos!$H$6),IF(P32&gt;0.005,E32,999999),999999)</f>
        <v>999999</v>
      </c>
      <c r="U32" s="1"/>
      <c r="V32" s="1"/>
    </row>
    <row r="33" ht="25.5" customHeight="1">
      <c r="A33" s="1"/>
      <c r="B33" s="1"/>
      <c r="C33" s="33" t="str">
        <f>IF(AND(Creditos!$C$6&lt;&gt;"",Creditos!$M$6="OK",28&lt;=Creditos!$H$6),Creditos!$C$6,"")</f>
        <v/>
      </c>
      <c r="D33" s="33" t="str">
        <f>IF(AND(Creditos!$C$6&lt;&gt;"",Creditos!$M$6="OK",28&lt;=Creditos!$H$6),28,"")</f>
        <v/>
      </c>
      <c r="E33" s="35" t="str">
        <f>IF(AND(Creditos!$C$6&lt;&gt;"",Creditos!$M$6="OK",28&lt;=Creditos!$H$6),EDATE(Creditos!$I$6,27),"")</f>
        <v/>
      </c>
      <c r="F33" s="36" t="str">
        <f>IF(AND(Creditos!$C$6&lt;&gt;"",Creditos!$M$6="OK",28&lt;=Creditos!$H$6),M32,"")</f>
        <v/>
      </c>
      <c r="G33" s="37" t="str">
        <f>IF(AND(Creditos!$C$6&lt;&gt;"",Creditos!$M$6="OK",28&lt;=Creditos!$H$6),Creditos!$N$6,"")</f>
        <v/>
      </c>
      <c r="H33" s="36" t="str">
        <f>IF(AND(Creditos!$C$6&lt;&gt;"",Creditos!$M$6="OK",28&lt;=Creditos!$H$6),ROUND(F33*G33,2),"")</f>
        <v/>
      </c>
      <c r="I33" s="36" t="str">
        <f>IF(AND(Creditos!$C$6&lt;&gt;"",Creditos!$M$6="OK",28&lt;=Creditos!$H$6),IF(28=Creditos!$H$6,F33+H33,MIN(Creditos!$O$6,F33+H33)),"")</f>
        <v/>
      </c>
      <c r="J33" s="36" t="str">
        <f>IF(AND(Creditos!$C$6&lt;&gt;"",Creditos!$M$6="OK",28&lt;=Creditos!$H$6),MIN(F33,MAX(0,I33-H33)),"")</f>
        <v/>
      </c>
      <c r="K33" s="36" t="str">
        <f>IF(AND(Creditos!$C$6&lt;&gt;"",Creditos!$M$6="OK",28&lt;=Creditos!$H$6),Creditos!$J$6+Creditos!$K$6,"")</f>
        <v/>
      </c>
      <c r="L33" s="36" t="str">
        <f>IF(AND(Creditos!$C$6&lt;&gt;"",Creditos!$M$6="OK",28&lt;=Creditos!$H$6),I33+K33,"")</f>
        <v/>
      </c>
      <c r="M33" s="36" t="str">
        <f>IF(AND(Creditos!$C$6&lt;&gt;"",Creditos!$M$6="OK",28&lt;=Creditos!$H$6),MAX(0,F33-J33),"")</f>
        <v/>
      </c>
      <c r="N33" s="36" t="str">
        <f>IF(AND(Creditos!$C$6&lt;&gt;"",Creditos!$M$6="OK",28&lt;=Creditos!$H$6),SUMIFS(Pagos!$F$6:$F$305,Pagos!$C$6:$C$305,C33,Pagos!$D$6:$D$305,D33,Pagos!$E$6:$E$305,"&lt;="&amp;Supuestos!$D$6,Pagos!$H$6:$H$305,"OK"),"")</f>
        <v/>
      </c>
      <c r="O33" s="36" t="str">
        <f>IF(AND(Creditos!$C$6&lt;&gt;"",Creditos!$M$6="OK",28&lt;=Creditos!$H$6),MIN(J33,MAX(0,N33-K33-H33)),"")</f>
        <v/>
      </c>
      <c r="P33" s="36" t="str">
        <f>IF(AND(Creditos!$C$6&lt;&gt;"",Creditos!$M$6="OK",28&lt;=Creditos!$H$6),MAX(0,L33-N33),"")</f>
        <v/>
      </c>
      <c r="Q33" s="39" t="str">
        <f>IF(AND(Creditos!$C$6&lt;&gt;"",Creditos!$M$6="OK",28&lt;=Creditos!$H$6),IF(AND(E33&lt;Supuestos!$D$6,P33&gt;0.005),Supuestos!$D$6-E33,0),"")</f>
        <v/>
      </c>
      <c r="R33" s="36" t="str">
        <f>IF(AND(Creditos!$C$6&lt;&gt;"",Creditos!$M$6="OK",28&lt;=Creditos!$H$6),MAX(0,N33-L33),"")</f>
        <v/>
      </c>
      <c r="S33" s="33" t="str">
        <f>IF(AND(Creditos!$C$6&lt;&gt;"",Creditos!$M$6="OK",28&lt;=Creditos!$H$6),IF(R33&gt;0.005,"Exceso sin imputar",IF(P33&lt;=0.005,"Pagada",IF(E33&lt;Supuestos!$D$6,"Vencida",IF(E33=Supuestos!$D$6,"Vence hoy","Por vencer")))),"")</f>
        <v/>
      </c>
      <c r="T33" s="33">
        <f>IF(AND(Creditos!$C$6&lt;&gt;"",Creditos!$M$6="OK",28&lt;=Creditos!$H$6),IF(P33&gt;0.005,E33,999999),999999)</f>
        <v>999999</v>
      </c>
      <c r="U33" s="1"/>
      <c r="V33" s="1"/>
    </row>
    <row r="34" ht="25.5" customHeight="1">
      <c r="A34" s="1"/>
      <c r="B34" s="1"/>
      <c r="C34" s="33" t="str">
        <f>IF(AND(Creditos!$C$6&lt;&gt;"",Creditos!$M$6="OK",29&lt;=Creditos!$H$6),Creditos!$C$6,"")</f>
        <v/>
      </c>
      <c r="D34" s="33" t="str">
        <f>IF(AND(Creditos!$C$6&lt;&gt;"",Creditos!$M$6="OK",29&lt;=Creditos!$H$6),29,"")</f>
        <v/>
      </c>
      <c r="E34" s="35" t="str">
        <f>IF(AND(Creditos!$C$6&lt;&gt;"",Creditos!$M$6="OK",29&lt;=Creditos!$H$6),EDATE(Creditos!$I$6,28),"")</f>
        <v/>
      </c>
      <c r="F34" s="36" t="str">
        <f>IF(AND(Creditos!$C$6&lt;&gt;"",Creditos!$M$6="OK",29&lt;=Creditos!$H$6),M33,"")</f>
        <v/>
      </c>
      <c r="G34" s="37" t="str">
        <f>IF(AND(Creditos!$C$6&lt;&gt;"",Creditos!$M$6="OK",29&lt;=Creditos!$H$6),Creditos!$N$6,"")</f>
        <v/>
      </c>
      <c r="H34" s="36" t="str">
        <f>IF(AND(Creditos!$C$6&lt;&gt;"",Creditos!$M$6="OK",29&lt;=Creditos!$H$6),ROUND(F34*G34,2),"")</f>
        <v/>
      </c>
      <c r="I34" s="36" t="str">
        <f>IF(AND(Creditos!$C$6&lt;&gt;"",Creditos!$M$6="OK",29&lt;=Creditos!$H$6),IF(29=Creditos!$H$6,F34+H34,MIN(Creditos!$O$6,F34+H34)),"")</f>
        <v/>
      </c>
      <c r="J34" s="36" t="str">
        <f>IF(AND(Creditos!$C$6&lt;&gt;"",Creditos!$M$6="OK",29&lt;=Creditos!$H$6),MIN(F34,MAX(0,I34-H34)),"")</f>
        <v/>
      </c>
      <c r="K34" s="36" t="str">
        <f>IF(AND(Creditos!$C$6&lt;&gt;"",Creditos!$M$6="OK",29&lt;=Creditos!$H$6),Creditos!$J$6+Creditos!$K$6,"")</f>
        <v/>
      </c>
      <c r="L34" s="36" t="str">
        <f>IF(AND(Creditos!$C$6&lt;&gt;"",Creditos!$M$6="OK",29&lt;=Creditos!$H$6),I34+K34,"")</f>
        <v/>
      </c>
      <c r="M34" s="36" t="str">
        <f>IF(AND(Creditos!$C$6&lt;&gt;"",Creditos!$M$6="OK",29&lt;=Creditos!$H$6),MAX(0,F34-J34),"")</f>
        <v/>
      </c>
      <c r="N34" s="36" t="str">
        <f>IF(AND(Creditos!$C$6&lt;&gt;"",Creditos!$M$6="OK",29&lt;=Creditos!$H$6),SUMIFS(Pagos!$F$6:$F$305,Pagos!$C$6:$C$305,C34,Pagos!$D$6:$D$305,D34,Pagos!$E$6:$E$305,"&lt;="&amp;Supuestos!$D$6,Pagos!$H$6:$H$305,"OK"),"")</f>
        <v/>
      </c>
      <c r="O34" s="36" t="str">
        <f>IF(AND(Creditos!$C$6&lt;&gt;"",Creditos!$M$6="OK",29&lt;=Creditos!$H$6),MIN(J34,MAX(0,N34-K34-H34)),"")</f>
        <v/>
      </c>
      <c r="P34" s="36" t="str">
        <f>IF(AND(Creditos!$C$6&lt;&gt;"",Creditos!$M$6="OK",29&lt;=Creditos!$H$6),MAX(0,L34-N34),"")</f>
        <v/>
      </c>
      <c r="Q34" s="39" t="str">
        <f>IF(AND(Creditos!$C$6&lt;&gt;"",Creditos!$M$6="OK",29&lt;=Creditos!$H$6),IF(AND(E34&lt;Supuestos!$D$6,P34&gt;0.005),Supuestos!$D$6-E34,0),"")</f>
        <v/>
      </c>
      <c r="R34" s="36" t="str">
        <f>IF(AND(Creditos!$C$6&lt;&gt;"",Creditos!$M$6="OK",29&lt;=Creditos!$H$6),MAX(0,N34-L34),"")</f>
        <v/>
      </c>
      <c r="S34" s="33" t="str">
        <f>IF(AND(Creditos!$C$6&lt;&gt;"",Creditos!$M$6="OK",29&lt;=Creditos!$H$6),IF(R34&gt;0.005,"Exceso sin imputar",IF(P34&lt;=0.005,"Pagada",IF(E34&lt;Supuestos!$D$6,"Vencida",IF(E34=Supuestos!$D$6,"Vence hoy","Por vencer")))),"")</f>
        <v/>
      </c>
      <c r="T34" s="33">
        <f>IF(AND(Creditos!$C$6&lt;&gt;"",Creditos!$M$6="OK",29&lt;=Creditos!$H$6),IF(P34&gt;0.005,E34,999999),999999)</f>
        <v>999999</v>
      </c>
      <c r="U34" s="1"/>
      <c r="V34" s="1"/>
    </row>
    <row r="35" ht="25.5" customHeight="1">
      <c r="A35" s="1"/>
      <c r="B35" s="1"/>
      <c r="C35" s="33" t="str">
        <f>IF(AND(Creditos!$C$6&lt;&gt;"",Creditos!$M$6="OK",30&lt;=Creditos!$H$6),Creditos!$C$6,"")</f>
        <v/>
      </c>
      <c r="D35" s="33" t="str">
        <f>IF(AND(Creditos!$C$6&lt;&gt;"",Creditos!$M$6="OK",30&lt;=Creditos!$H$6),30,"")</f>
        <v/>
      </c>
      <c r="E35" s="35" t="str">
        <f>IF(AND(Creditos!$C$6&lt;&gt;"",Creditos!$M$6="OK",30&lt;=Creditos!$H$6),EDATE(Creditos!$I$6,29),"")</f>
        <v/>
      </c>
      <c r="F35" s="36" t="str">
        <f>IF(AND(Creditos!$C$6&lt;&gt;"",Creditos!$M$6="OK",30&lt;=Creditos!$H$6),M34,"")</f>
        <v/>
      </c>
      <c r="G35" s="37" t="str">
        <f>IF(AND(Creditos!$C$6&lt;&gt;"",Creditos!$M$6="OK",30&lt;=Creditos!$H$6),Creditos!$N$6,"")</f>
        <v/>
      </c>
      <c r="H35" s="36" t="str">
        <f>IF(AND(Creditos!$C$6&lt;&gt;"",Creditos!$M$6="OK",30&lt;=Creditos!$H$6),ROUND(F35*G35,2),"")</f>
        <v/>
      </c>
      <c r="I35" s="36" t="str">
        <f>IF(AND(Creditos!$C$6&lt;&gt;"",Creditos!$M$6="OK",30&lt;=Creditos!$H$6),IF(30=Creditos!$H$6,F35+H35,MIN(Creditos!$O$6,F35+H35)),"")</f>
        <v/>
      </c>
      <c r="J35" s="36" t="str">
        <f>IF(AND(Creditos!$C$6&lt;&gt;"",Creditos!$M$6="OK",30&lt;=Creditos!$H$6),MIN(F35,MAX(0,I35-H35)),"")</f>
        <v/>
      </c>
      <c r="K35" s="36" t="str">
        <f>IF(AND(Creditos!$C$6&lt;&gt;"",Creditos!$M$6="OK",30&lt;=Creditos!$H$6),Creditos!$J$6+Creditos!$K$6,"")</f>
        <v/>
      </c>
      <c r="L35" s="36" t="str">
        <f>IF(AND(Creditos!$C$6&lt;&gt;"",Creditos!$M$6="OK",30&lt;=Creditos!$H$6),I35+K35,"")</f>
        <v/>
      </c>
      <c r="M35" s="36" t="str">
        <f>IF(AND(Creditos!$C$6&lt;&gt;"",Creditos!$M$6="OK",30&lt;=Creditos!$H$6),MAX(0,F35-J35),"")</f>
        <v/>
      </c>
      <c r="N35" s="36" t="str">
        <f>IF(AND(Creditos!$C$6&lt;&gt;"",Creditos!$M$6="OK",30&lt;=Creditos!$H$6),SUMIFS(Pagos!$F$6:$F$305,Pagos!$C$6:$C$305,C35,Pagos!$D$6:$D$305,D35,Pagos!$E$6:$E$305,"&lt;="&amp;Supuestos!$D$6,Pagos!$H$6:$H$305,"OK"),"")</f>
        <v/>
      </c>
      <c r="O35" s="36" t="str">
        <f>IF(AND(Creditos!$C$6&lt;&gt;"",Creditos!$M$6="OK",30&lt;=Creditos!$H$6),MIN(J35,MAX(0,N35-K35-H35)),"")</f>
        <v/>
      </c>
      <c r="P35" s="36" t="str">
        <f>IF(AND(Creditos!$C$6&lt;&gt;"",Creditos!$M$6="OK",30&lt;=Creditos!$H$6),MAX(0,L35-N35),"")</f>
        <v/>
      </c>
      <c r="Q35" s="39" t="str">
        <f>IF(AND(Creditos!$C$6&lt;&gt;"",Creditos!$M$6="OK",30&lt;=Creditos!$H$6),IF(AND(E35&lt;Supuestos!$D$6,P35&gt;0.005),Supuestos!$D$6-E35,0),"")</f>
        <v/>
      </c>
      <c r="R35" s="36" t="str">
        <f>IF(AND(Creditos!$C$6&lt;&gt;"",Creditos!$M$6="OK",30&lt;=Creditos!$H$6),MAX(0,N35-L35),"")</f>
        <v/>
      </c>
      <c r="S35" s="33" t="str">
        <f>IF(AND(Creditos!$C$6&lt;&gt;"",Creditos!$M$6="OK",30&lt;=Creditos!$H$6),IF(R35&gt;0.005,"Exceso sin imputar",IF(P35&lt;=0.005,"Pagada",IF(E35&lt;Supuestos!$D$6,"Vencida",IF(E35=Supuestos!$D$6,"Vence hoy","Por vencer")))),"")</f>
        <v/>
      </c>
      <c r="T35" s="33">
        <f>IF(AND(Creditos!$C$6&lt;&gt;"",Creditos!$M$6="OK",30&lt;=Creditos!$H$6),IF(P35&gt;0.005,E35,999999),999999)</f>
        <v>999999</v>
      </c>
      <c r="U35" s="1"/>
      <c r="V35" s="1"/>
    </row>
    <row r="36" ht="25.5" customHeight="1">
      <c r="A36" s="1"/>
      <c r="B36" s="1"/>
      <c r="C36" s="33" t="str">
        <f>IF(AND(Creditos!$C$6&lt;&gt;"",Creditos!$M$6="OK",31&lt;=Creditos!$H$6),Creditos!$C$6,"")</f>
        <v/>
      </c>
      <c r="D36" s="33" t="str">
        <f>IF(AND(Creditos!$C$6&lt;&gt;"",Creditos!$M$6="OK",31&lt;=Creditos!$H$6),31,"")</f>
        <v/>
      </c>
      <c r="E36" s="35" t="str">
        <f>IF(AND(Creditos!$C$6&lt;&gt;"",Creditos!$M$6="OK",31&lt;=Creditos!$H$6),EDATE(Creditos!$I$6,30),"")</f>
        <v/>
      </c>
      <c r="F36" s="36" t="str">
        <f>IF(AND(Creditos!$C$6&lt;&gt;"",Creditos!$M$6="OK",31&lt;=Creditos!$H$6),M35,"")</f>
        <v/>
      </c>
      <c r="G36" s="37" t="str">
        <f>IF(AND(Creditos!$C$6&lt;&gt;"",Creditos!$M$6="OK",31&lt;=Creditos!$H$6),Creditos!$N$6,"")</f>
        <v/>
      </c>
      <c r="H36" s="36" t="str">
        <f>IF(AND(Creditos!$C$6&lt;&gt;"",Creditos!$M$6="OK",31&lt;=Creditos!$H$6),ROUND(F36*G36,2),"")</f>
        <v/>
      </c>
      <c r="I36" s="36" t="str">
        <f>IF(AND(Creditos!$C$6&lt;&gt;"",Creditos!$M$6="OK",31&lt;=Creditos!$H$6),IF(31=Creditos!$H$6,F36+H36,MIN(Creditos!$O$6,F36+H36)),"")</f>
        <v/>
      </c>
      <c r="J36" s="36" t="str">
        <f>IF(AND(Creditos!$C$6&lt;&gt;"",Creditos!$M$6="OK",31&lt;=Creditos!$H$6),MIN(F36,MAX(0,I36-H36)),"")</f>
        <v/>
      </c>
      <c r="K36" s="36" t="str">
        <f>IF(AND(Creditos!$C$6&lt;&gt;"",Creditos!$M$6="OK",31&lt;=Creditos!$H$6),Creditos!$J$6+Creditos!$K$6,"")</f>
        <v/>
      </c>
      <c r="L36" s="36" t="str">
        <f>IF(AND(Creditos!$C$6&lt;&gt;"",Creditos!$M$6="OK",31&lt;=Creditos!$H$6),I36+K36,"")</f>
        <v/>
      </c>
      <c r="M36" s="36" t="str">
        <f>IF(AND(Creditos!$C$6&lt;&gt;"",Creditos!$M$6="OK",31&lt;=Creditos!$H$6),MAX(0,F36-J36),"")</f>
        <v/>
      </c>
      <c r="N36" s="36" t="str">
        <f>IF(AND(Creditos!$C$6&lt;&gt;"",Creditos!$M$6="OK",31&lt;=Creditos!$H$6),SUMIFS(Pagos!$F$6:$F$305,Pagos!$C$6:$C$305,C36,Pagos!$D$6:$D$305,D36,Pagos!$E$6:$E$305,"&lt;="&amp;Supuestos!$D$6,Pagos!$H$6:$H$305,"OK"),"")</f>
        <v/>
      </c>
      <c r="O36" s="36" t="str">
        <f>IF(AND(Creditos!$C$6&lt;&gt;"",Creditos!$M$6="OK",31&lt;=Creditos!$H$6),MIN(J36,MAX(0,N36-K36-H36)),"")</f>
        <v/>
      </c>
      <c r="P36" s="36" t="str">
        <f>IF(AND(Creditos!$C$6&lt;&gt;"",Creditos!$M$6="OK",31&lt;=Creditos!$H$6),MAX(0,L36-N36),"")</f>
        <v/>
      </c>
      <c r="Q36" s="39" t="str">
        <f>IF(AND(Creditos!$C$6&lt;&gt;"",Creditos!$M$6="OK",31&lt;=Creditos!$H$6),IF(AND(E36&lt;Supuestos!$D$6,P36&gt;0.005),Supuestos!$D$6-E36,0),"")</f>
        <v/>
      </c>
      <c r="R36" s="36" t="str">
        <f>IF(AND(Creditos!$C$6&lt;&gt;"",Creditos!$M$6="OK",31&lt;=Creditos!$H$6),MAX(0,N36-L36),"")</f>
        <v/>
      </c>
      <c r="S36" s="33" t="str">
        <f>IF(AND(Creditos!$C$6&lt;&gt;"",Creditos!$M$6="OK",31&lt;=Creditos!$H$6),IF(R36&gt;0.005,"Exceso sin imputar",IF(P36&lt;=0.005,"Pagada",IF(E36&lt;Supuestos!$D$6,"Vencida",IF(E36=Supuestos!$D$6,"Vence hoy","Por vencer")))),"")</f>
        <v/>
      </c>
      <c r="T36" s="33">
        <f>IF(AND(Creditos!$C$6&lt;&gt;"",Creditos!$M$6="OK",31&lt;=Creditos!$H$6),IF(P36&gt;0.005,E36,999999),999999)</f>
        <v>999999</v>
      </c>
      <c r="U36" s="1"/>
      <c r="V36" s="1"/>
    </row>
    <row r="37" ht="25.5" customHeight="1">
      <c r="A37" s="1"/>
      <c r="B37" s="1"/>
      <c r="C37" s="33" t="str">
        <f>IF(AND(Creditos!$C$6&lt;&gt;"",Creditos!$M$6="OK",32&lt;=Creditos!$H$6),Creditos!$C$6,"")</f>
        <v/>
      </c>
      <c r="D37" s="33" t="str">
        <f>IF(AND(Creditos!$C$6&lt;&gt;"",Creditos!$M$6="OK",32&lt;=Creditos!$H$6),32,"")</f>
        <v/>
      </c>
      <c r="E37" s="35" t="str">
        <f>IF(AND(Creditos!$C$6&lt;&gt;"",Creditos!$M$6="OK",32&lt;=Creditos!$H$6),EDATE(Creditos!$I$6,31),"")</f>
        <v/>
      </c>
      <c r="F37" s="36" t="str">
        <f>IF(AND(Creditos!$C$6&lt;&gt;"",Creditos!$M$6="OK",32&lt;=Creditos!$H$6),M36,"")</f>
        <v/>
      </c>
      <c r="G37" s="37" t="str">
        <f>IF(AND(Creditos!$C$6&lt;&gt;"",Creditos!$M$6="OK",32&lt;=Creditos!$H$6),Creditos!$N$6,"")</f>
        <v/>
      </c>
      <c r="H37" s="36" t="str">
        <f>IF(AND(Creditos!$C$6&lt;&gt;"",Creditos!$M$6="OK",32&lt;=Creditos!$H$6),ROUND(F37*G37,2),"")</f>
        <v/>
      </c>
      <c r="I37" s="36" t="str">
        <f>IF(AND(Creditos!$C$6&lt;&gt;"",Creditos!$M$6="OK",32&lt;=Creditos!$H$6),IF(32=Creditos!$H$6,F37+H37,MIN(Creditos!$O$6,F37+H37)),"")</f>
        <v/>
      </c>
      <c r="J37" s="36" t="str">
        <f>IF(AND(Creditos!$C$6&lt;&gt;"",Creditos!$M$6="OK",32&lt;=Creditos!$H$6),MIN(F37,MAX(0,I37-H37)),"")</f>
        <v/>
      </c>
      <c r="K37" s="36" t="str">
        <f>IF(AND(Creditos!$C$6&lt;&gt;"",Creditos!$M$6="OK",32&lt;=Creditos!$H$6),Creditos!$J$6+Creditos!$K$6,"")</f>
        <v/>
      </c>
      <c r="L37" s="36" t="str">
        <f>IF(AND(Creditos!$C$6&lt;&gt;"",Creditos!$M$6="OK",32&lt;=Creditos!$H$6),I37+K37,"")</f>
        <v/>
      </c>
      <c r="M37" s="36" t="str">
        <f>IF(AND(Creditos!$C$6&lt;&gt;"",Creditos!$M$6="OK",32&lt;=Creditos!$H$6),MAX(0,F37-J37),"")</f>
        <v/>
      </c>
      <c r="N37" s="36" t="str">
        <f>IF(AND(Creditos!$C$6&lt;&gt;"",Creditos!$M$6="OK",32&lt;=Creditos!$H$6),SUMIFS(Pagos!$F$6:$F$305,Pagos!$C$6:$C$305,C37,Pagos!$D$6:$D$305,D37,Pagos!$E$6:$E$305,"&lt;="&amp;Supuestos!$D$6,Pagos!$H$6:$H$305,"OK"),"")</f>
        <v/>
      </c>
      <c r="O37" s="36" t="str">
        <f>IF(AND(Creditos!$C$6&lt;&gt;"",Creditos!$M$6="OK",32&lt;=Creditos!$H$6),MIN(J37,MAX(0,N37-K37-H37)),"")</f>
        <v/>
      </c>
      <c r="P37" s="36" t="str">
        <f>IF(AND(Creditos!$C$6&lt;&gt;"",Creditos!$M$6="OK",32&lt;=Creditos!$H$6),MAX(0,L37-N37),"")</f>
        <v/>
      </c>
      <c r="Q37" s="39" t="str">
        <f>IF(AND(Creditos!$C$6&lt;&gt;"",Creditos!$M$6="OK",32&lt;=Creditos!$H$6),IF(AND(E37&lt;Supuestos!$D$6,P37&gt;0.005),Supuestos!$D$6-E37,0),"")</f>
        <v/>
      </c>
      <c r="R37" s="36" t="str">
        <f>IF(AND(Creditos!$C$6&lt;&gt;"",Creditos!$M$6="OK",32&lt;=Creditos!$H$6),MAX(0,N37-L37),"")</f>
        <v/>
      </c>
      <c r="S37" s="33" t="str">
        <f>IF(AND(Creditos!$C$6&lt;&gt;"",Creditos!$M$6="OK",32&lt;=Creditos!$H$6),IF(R37&gt;0.005,"Exceso sin imputar",IF(P37&lt;=0.005,"Pagada",IF(E37&lt;Supuestos!$D$6,"Vencida",IF(E37=Supuestos!$D$6,"Vence hoy","Por vencer")))),"")</f>
        <v/>
      </c>
      <c r="T37" s="33">
        <f>IF(AND(Creditos!$C$6&lt;&gt;"",Creditos!$M$6="OK",32&lt;=Creditos!$H$6),IF(P37&gt;0.005,E37,999999),999999)</f>
        <v>999999</v>
      </c>
      <c r="U37" s="1"/>
      <c r="V37" s="1"/>
    </row>
    <row r="38" ht="25.5" customHeight="1">
      <c r="A38" s="1"/>
      <c r="B38" s="1"/>
      <c r="C38" s="33" t="str">
        <f>IF(AND(Creditos!$C$6&lt;&gt;"",Creditos!$M$6="OK",33&lt;=Creditos!$H$6),Creditos!$C$6,"")</f>
        <v/>
      </c>
      <c r="D38" s="33" t="str">
        <f>IF(AND(Creditos!$C$6&lt;&gt;"",Creditos!$M$6="OK",33&lt;=Creditos!$H$6),33,"")</f>
        <v/>
      </c>
      <c r="E38" s="35" t="str">
        <f>IF(AND(Creditos!$C$6&lt;&gt;"",Creditos!$M$6="OK",33&lt;=Creditos!$H$6),EDATE(Creditos!$I$6,32),"")</f>
        <v/>
      </c>
      <c r="F38" s="36" t="str">
        <f>IF(AND(Creditos!$C$6&lt;&gt;"",Creditos!$M$6="OK",33&lt;=Creditos!$H$6),M37,"")</f>
        <v/>
      </c>
      <c r="G38" s="37" t="str">
        <f>IF(AND(Creditos!$C$6&lt;&gt;"",Creditos!$M$6="OK",33&lt;=Creditos!$H$6),Creditos!$N$6,"")</f>
        <v/>
      </c>
      <c r="H38" s="36" t="str">
        <f>IF(AND(Creditos!$C$6&lt;&gt;"",Creditos!$M$6="OK",33&lt;=Creditos!$H$6),ROUND(F38*G38,2),"")</f>
        <v/>
      </c>
      <c r="I38" s="36" t="str">
        <f>IF(AND(Creditos!$C$6&lt;&gt;"",Creditos!$M$6="OK",33&lt;=Creditos!$H$6),IF(33=Creditos!$H$6,F38+H38,MIN(Creditos!$O$6,F38+H38)),"")</f>
        <v/>
      </c>
      <c r="J38" s="36" t="str">
        <f>IF(AND(Creditos!$C$6&lt;&gt;"",Creditos!$M$6="OK",33&lt;=Creditos!$H$6),MIN(F38,MAX(0,I38-H38)),"")</f>
        <v/>
      </c>
      <c r="K38" s="36" t="str">
        <f>IF(AND(Creditos!$C$6&lt;&gt;"",Creditos!$M$6="OK",33&lt;=Creditos!$H$6),Creditos!$J$6+Creditos!$K$6,"")</f>
        <v/>
      </c>
      <c r="L38" s="36" t="str">
        <f>IF(AND(Creditos!$C$6&lt;&gt;"",Creditos!$M$6="OK",33&lt;=Creditos!$H$6),I38+K38,"")</f>
        <v/>
      </c>
      <c r="M38" s="36" t="str">
        <f>IF(AND(Creditos!$C$6&lt;&gt;"",Creditos!$M$6="OK",33&lt;=Creditos!$H$6),MAX(0,F38-J38),"")</f>
        <v/>
      </c>
      <c r="N38" s="36" t="str">
        <f>IF(AND(Creditos!$C$6&lt;&gt;"",Creditos!$M$6="OK",33&lt;=Creditos!$H$6),SUMIFS(Pagos!$F$6:$F$305,Pagos!$C$6:$C$305,C38,Pagos!$D$6:$D$305,D38,Pagos!$E$6:$E$305,"&lt;="&amp;Supuestos!$D$6,Pagos!$H$6:$H$305,"OK"),"")</f>
        <v/>
      </c>
      <c r="O38" s="36" t="str">
        <f>IF(AND(Creditos!$C$6&lt;&gt;"",Creditos!$M$6="OK",33&lt;=Creditos!$H$6),MIN(J38,MAX(0,N38-K38-H38)),"")</f>
        <v/>
      </c>
      <c r="P38" s="36" t="str">
        <f>IF(AND(Creditos!$C$6&lt;&gt;"",Creditos!$M$6="OK",33&lt;=Creditos!$H$6),MAX(0,L38-N38),"")</f>
        <v/>
      </c>
      <c r="Q38" s="39" t="str">
        <f>IF(AND(Creditos!$C$6&lt;&gt;"",Creditos!$M$6="OK",33&lt;=Creditos!$H$6),IF(AND(E38&lt;Supuestos!$D$6,P38&gt;0.005),Supuestos!$D$6-E38,0),"")</f>
        <v/>
      </c>
      <c r="R38" s="36" t="str">
        <f>IF(AND(Creditos!$C$6&lt;&gt;"",Creditos!$M$6="OK",33&lt;=Creditos!$H$6),MAX(0,N38-L38),"")</f>
        <v/>
      </c>
      <c r="S38" s="33" t="str">
        <f>IF(AND(Creditos!$C$6&lt;&gt;"",Creditos!$M$6="OK",33&lt;=Creditos!$H$6),IF(R38&gt;0.005,"Exceso sin imputar",IF(P38&lt;=0.005,"Pagada",IF(E38&lt;Supuestos!$D$6,"Vencida",IF(E38=Supuestos!$D$6,"Vence hoy","Por vencer")))),"")</f>
        <v/>
      </c>
      <c r="T38" s="33">
        <f>IF(AND(Creditos!$C$6&lt;&gt;"",Creditos!$M$6="OK",33&lt;=Creditos!$H$6),IF(P38&gt;0.005,E38,999999),999999)</f>
        <v>999999</v>
      </c>
      <c r="U38" s="1"/>
      <c r="V38" s="1"/>
    </row>
    <row r="39" ht="25.5" customHeight="1">
      <c r="A39" s="1"/>
      <c r="B39" s="1"/>
      <c r="C39" s="33" t="str">
        <f>IF(AND(Creditos!$C$6&lt;&gt;"",Creditos!$M$6="OK",34&lt;=Creditos!$H$6),Creditos!$C$6,"")</f>
        <v/>
      </c>
      <c r="D39" s="33" t="str">
        <f>IF(AND(Creditos!$C$6&lt;&gt;"",Creditos!$M$6="OK",34&lt;=Creditos!$H$6),34,"")</f>
        <v/>
      </c>
      <c r="E39" s="35" t="str">
        <f>IF(AND(Creditos!$C$6&lt;&gt;"",Creditos!$M$6="OK",34&lt;=Creditos!$H$6),EDATE(Creditos!$I$6,33),"")</f>
        <v/>
      </c>
      <c r="F39" s="36" t="str">
        <f>IF(AND(Creditos!$C$6&lt;&gt;"",Creditos!$M$6="OK",34&lt;=Creditos!$H$6),M38,"")</f>
        <v/>
      </c>
      <c r="G39" s="37" t="str">
        <f>IF(AND(Creditos!$C$6&lt;&gt;"",Creditos!$M$6="OK",34&lt;=Creditos!$H$6),Creditos!$N$6,"")</f>
        <v/>
      </c>
      <c r="H39" s="36" t="str">
        <f>IF(AND(Creditos!$C$6&lt;&gt;"",Creditos!$M$6="OK",34&lt;=Creditos!$H$6),ROUND(F39*G39,2),"")</f>
        <v/>
      </c>
      <c r="I39" s="36" t="str">
        <f>IF(AND(Creditos!$C$6&lt;&gt;"",Creditos!$M$6="OK",34&lt;=Creditos!$H$6),IF(34=Creditos!$H$6,F39+H39,MIN(Creditos!$O$6,F39+H39)),"")</f>
        <v/>
      </c>
      <c r="J39" s="36" t="str">
        <f>IF(AND(Creditos!$C$6&lt;&gt;"",Creditos!$M$6="OK",34&lt;=Creditos!$H$6),MIN(F39,MAX(0,I39-H39)),"")</f>
        <v/>
      </c>
      <c r="K39" s="36" t="str">
        <f>IF(AND(Creditos!$C$6&lt;&gt;"",Creditos!$M$6="OK",34&lt;=Creditos!$H$6),Creditos!$J$6+Creditos!$K$6,"")</f>
        <v/>
      </c>
      <c r="L39" s="36" t="str">
        <f>IF(AND(Creditos!$C$6&lt;&gt;"",Creditos!$M$6="OK",34&lt;=Creditos!$H$6),I39+K39,"")</f>
        <v/>
      </c>
      <c r="M39" s="36" t="str">
        <f>IF(AND(Creditos!$C$6&lt;&gt;"",Creditos!$M$6="OK",34&lt;=Creditos!$H$6),MAX(0,F39-J39),"")</f>
        <v/>
      </c>
      <c r="N39" s="36" t="str">
        <f>IF(AND(Creditos!$C$6&lt;&gt;"",Creditos!$M$6="OK",34&lt;=Creditos!$H$6),SUMIFS(Pagos!$F$6:$F$305,Pagos!$C$6:$C$305,C39,Pagos!$D$6:$D$305,D39,Pagos!$E$6:$E$305,"&lt;="&amp;Supuestos!$D$6,Pagos!$H$6:$H$305,"OK"),"")</f>
        <v/>
      </c>
      <c r="O39" s="36" t="str">
        <f>IF(AND(Creditos!$C$6&lt;&gt;"",Creditos!$M$6="OK",34&lt;=Creditos!$H$6),MIN(J39,MAX(0,N39-K39-H39)),"")</f>
        <v/>
      </c>
      <c r="P39" s="36" t="str">
        <f>IF(AND(Creditos!$C$6&lt;&gt;"",Creditos!$M$6="OK",34&lt;=Creditos!$H$6),MAX(0,L39-N39),"")</f>
        <v/>
      </c>
      <c r="Q39" s="39" t="str">
        <f>IF(AND(Creditos!$C$6&lt;&gt;"",Creditos!$M$6="OK",34&lt;=Creditos!$H$6),IF(AND(E39&lt;Supuestos!$D$6,P39&gt;0.005),Supuestos!$D$6-E39,0),"")</f>
        <v/>
      </c>
      <c r="R39" s="36" t="str">
        <f>IF(AND(Creditos!$C$6&lt;&gt;"",Creditos!$M$6="OK",34&lt;=Creditos!$H$6),MAX(0,N39-L39),"")</f>
        <v/>
      </c>
      <c r="S39" s="33" t="str">
        <f>IF(AND(Creditos!$C$6&lt;&gt;"",Creditos!$M$6="OK",34&lt;=Creditos!$H$6),IF(R39&gt;0.005,"Exceso sin imputar",IF(P39&lt;=0.005,"Pagada",IF(E39&lt;Supuestos!$D$6,"Vencida",IF(E39=Supuestos!$D$6,"Vence hoy","Por vencer")))),"")</f>
        <v/>
      </c>
      <c r="T39" s="33">
        <f>IF(AND(Creditos!$C$6&lt;&gt;"",Creditos!$M$6="OK",34&lt;=Creditos!$H$6),IF(P39&gt;0.005,E39,999999),999999)</f>
        <v>999999</v>
      </c>
      <c r="U39" s="1"/>
      <c r="V39" s="1"/>
    </row>
    <row r="40" ht="25.5" customHeight="1">
      <c r="A40" s="1"/>
      <c r="B40" s="1"/>
      <c r="C40" s="33" t="str">
        <f>IF(AND(Creditos!$C$6&lt;&gt;"",Creditos!$M$6="OK",35&lt;=Creditos!$H$6),Creditos!$C$6,"")</f>
        <v/>
      </c>
      <c r="D40" s="33" t="str">
        <f>IF(AND(Creditos!$C$6&lt;&gt;"",Creditos!$M$6="OK",35&lt;=Creditos!$H$6),35,"")</f>
        <v/>
      </c>
      <c r="E40" s="35" t="str">
        <f>IF(AND(Creditos!$C$6&lt;&gt;"",Creditos!$M$6="OK",35&lt;=Creditos!$H$6),EDATE(Creditos!$I$6,34),"")</f>
        <v/>
      </c>
      <c r="F40" s="36" t="str">
        <f>IF(AND(Creditos!$C$6&lt;&gt;"",Creditos!$M$6="OK",35&lt;=Creditos!$H$6),M39,"")</f>
        <v/>
      </c>
      <c r="G40" s="37" t="str">
        <f>IF(AND(Creditos!$C$6&lt;&gt;"",Creditos!$M$6="OK",35&lt;=Creditos!$H$6),Creditos!$N$6,"")</f>
        <v/>
      </c>
      <c r="H40" s="36" t="str">
        <f>IF(AND(Creditos!$C$6&lt;&gt;"",Creditos!$M$6="OK",35&lt;=Creditos!$H$6),ROUND(F40*G40,2),"")</f>
        <v/>
      </c>
      <c r="I40" s="36" t="str">
        <f>IF(AND(Creditos!$C$6&lt;&gt;"",Creditos!$M$6="OK",35&lt;=Creditos!$H$6),IF(35=Creditos!$H$6,F40+H40,MIN(Creditos!$O$6,F40+H40)),"")</f>
        <v/>
      </c>
      <c r="J40" s="36" t="str">
        <f>IF(AND(Creditos!$C$6&lt;&gt;"",Creditos!$M$6="OK",35&lt;=Creditos!$H$6),MIN(F40,MAX(0,I40-H40)),"")</f>
        <v/>
      </c>
      <c r="K40" s="36" t="str">
        <f>IF(AND(Creditos!$C$6&lt;&gt;"",Creditos!$M$6="OK",35&lt;=Creditos!$H$6),Creditos!$J$6+Creditos!$K$6,"")</f>
        <v/>
      </c>
      <c r="L40" s="36" t="str">
        <f>IF(AND(Creditos!$C$6&lt;&gt;"",Creditos!$M$6="OK",35&lt;=Creditos!$H$6),I40+K40,"")</f>
        <v/>
      </c>
      <c r="M40" s="36" t="str">
        <f>IF(AND(Creditos!$C$6&lt;&gt;"",Creditos!$M$6="OK",35&lt;=Creditos!$H$6),MAX(0,F40-J40),"")</f>
        <v/>
      </c>
      <c r="N40" s="36" t="str">
        <f>IF(AND(Creditos!$C$6&lt;&gt;"",Creditos!$M$6="OK",35&lt;=Creditos!$H$6),SUMIFS(Pagos!$F$6:$F$305,Pagos!$C$6:$C$305,C40,Pagos!$D$6:$D$305,D40,Pagos!$E$6:$E$305,"&lt;="&amp;Supuestos!$D$6,Pagos!$H$6:$H$305,"OK"),"")</f>
        <v/>
      </c>
      <c r="O40" s="36" t="str">
        <f>IF(AND(Creditos!$C$6&lt;&gt;"",Creditos!$M$6="OK",35&lt;=Creditos!$H$6),MIN(J40,MAX(0,N40-K40-H40)),"")</f>
        <v/>
      </c>
      <c r="P40" s="36" t="str">
        <f>IF(AND(Creditos!$C$6&lt;&gt;"",Creditos!$M$6="OK",35&lt;=Creditos!$H$6),MAX(0,L40-N40),"")</f>
        <v/>
      </c>
      <c r="Q40" s="39" t="str">
        <f>IF(AND(Creditos!$C$6&lt;&gt;"",Creditos!$M$6="OK",35&lt;=Creditos!$H$6),IF(AND(E40&lt;Supuestos!$D$6,P40&gt;0.005),Supuestos!$D$6-E40,0),"")</f>
        <v/>
      </c>
      <c r="R40" s="36" t="str">
        <f>IF(AND(Creditos!$C$6&lt;&gt;"",Creditos!$M$6="OK",35&lt;=Creditos!$H$6),MAX(0,N40-L40),"")</f>
        <v/>
      </c>
      <c r="S40" s="33" t="str">
        <f>IF(AND(Creditos!$C$6&lt;&gt;"",Creditos!$M$6="OK",35&lt;=Creditos!$H$6),IF(R40&gt;0.005,"Exceso sin imputar",IF(P40&lt;=0.005,"Pagada",IF(E40&lt;Supuestos!$D$6,"Vencida",IF(E40=Supuestos!$D$6,"Vence hoy","Por vencer")))),"")</f>
        <v/>
      </c>
      <c r="T40" s="33">
        <f>IF(AND(Creditos!$C$6&lt;&gt;"",Creditos!$M$6="OK",35&lt;=Creditos!$H$6),IF(P40&gt;0.005,E40,999999),999999)</f>
        <v>999999</v>
      </c>
      <c r="U40" s="1"/>
      <c r="V40" s="1"/>
    </row>
    <row r="41" ht="25.5" customHeight="1">
      <c r="A41" s="1"/>
      <c r="B41" s="1"/>
      <c r="C41" s="33" t="str">
        <f>IF(AND(Creditos!$C$6&lt;&gt;"",Creditos!$M$6="OK",36&lt;=Creditos!$H$6),Creditos!$C$6,"")</f>
        <v/>
      </c>
      <c r="D41" s="33" t="str">
        <f>IF(AND(Creditos!$C$6&lt;&gt;"",Creditos!$M$6="OK",36&lt;=Creditos!$H$6),36,"")</f>
        <v/>
      </c>
      <c r="E41" s="35" t="str">
        <f>IF(AND(Creditos!$C$6&lt;&gt;"",Creditos!$M$6="OK",36&lt;=Creditos!$H$6),EDATE(Creditos!$I$6,35),"")</f>
        <v/>
      </c>
      <c r="F41" s="36" t="str">
        <f>IF(AND(Creditos!$C$6&lt;&gt;"",Creditos!$M$6="OK",36&lt;=Creditos!$H$6),M40,"")</f>
        <v/>
      </c>
      <c r="G41" s="37" t="str">
        <f>IF(AND(Creditos!$C$6&lt;&gt;"",Creditos!$M$6="OK",36&lt;=Creditos!$H$6),Creditos!$N$6,"")</f>
        <v/>
      </c>
      <c r="H41" s="36" t="str">
        <f>IF(AND(Creditos!$C$6&lt;&gt;"",Creditos!$M$6="OK",36&lt;=Creditos!$H$6),ROUND(F41*G41,2),"")</f>
        <v/>
      </c>
      <c r="I41" s="36" t="str">
        <f>IF(AND(Creditos!$C$6&lt;&gt;"",Creditos!$M$6="OK",36&lt;=Creditos!$H$6),IF(36=Creditos!$H$6,F41+H41,MIN(Creditos!$O$6,F41+H41)),"")</f>
        <v/>
      </c>
      <c r="J41" s="36" t="str">
        <f>IF(AND(Creditos!$C$6&lt;&gt;"",Creditos!$M$6="OK",36&lt;=Creditos!$H$6),MIN(F41,MAX(0,I41-H41)),"")</f>
        <v/>
      </c>
      <c r="K41" s="36" t="str">
        <f>IF(AND(Creditos!$C$6&lt;&gt;"",Creditos!$M$6="OK",36&lt;=Creditos!$H$6),Creditos!$J$6+Creditos!$K$6,"")</f>
        <v/>
      </c>
      <c r="L41" s="36" t="str">
        <f>IF(AND(Creditos!$C$6&lt;&gt;"",Creditos!$M$6="OK",36&lt;=Creditos!$H$6),I41+K41,"")</f>
        <v/>
      </c>
      <c r="M41" s="36" t="str">
        <f>IF(AND(Creditos!$C$6&lt;&gt;"",Creditos!$M$6="OK",36&lt;=Creditos!$H$6),MAX(0,F41-J41),"")</f>
        <v/>
      </c>
      <c r="N41" s="36" t="str">
        <f>IF(AND(Creditos!$C$6&lt;&gt;"",Creditos!$M$6="OK",36&lt;=Creditos!$H$6),SUMIFS(Pagos!$F$6:$F$305,Pagos!$C$6:$C$305,C41,Pagos!$D$6:$D$305,D41,Pagos!$E$6:$E$305,"&lt;="&amp;Supuestos!$D$6,Pagos!$H$6:$H$305,"OK"),"")</f>
        <v/>
      </c>
      <c r="O41" s="36" t="str">
        <f>IF(AND(Creditos!$C$6&lt;&gt;"",Creditos!$M$6="OK",36&lt;=Creditos!$H$6),MIN(J41,MAX(0,N41-K41-H41)),"")</f>
        <v/>
      </c>
      <c r="P41" s="36" t="str">
        <f>IF(AND(Creditos!$C$6&lt;&gt;"",Creditos!$M$6="OK",36&lt;=Creditos!$H$6),MAX(0,L41-N41),"")</f>
        <v/>
      </c>
      <c r="Q41" s="39" t="str">
        <f>IF(AND(Creditos!$C$6&lt;&gt;"",Creditos!$M$6="OK",36&lt;=Creditos!$H$6),IF(AND(E41&lt;Supuestos!$D$6,P41&gt;0.005),Supuestos!$D$6-E41,0),"")</f>
        <v/>
      </c>
      <c r="R41" s="36" t="str">
        <f>IF(AND(Creditos!$C$6&lt;&gt;"",Creditos!$M$6="OK",36&lt;=Creditos!$H$6),MAX(0,N41-L41),"")</f>
        <v/>
      </c>
      <c r="S41" s="33" t="str">
        <f>IF(AND(Creditos!$C$6&lt;&gt;"",Creditos!$M$6="OK",36&lt;=Creditos!$H$6),IF(R41&gt;0.005,"Exceso sin imputar",IF(P41&lt;=0.005,"Pagada",IF(E41&lt;Supuestos!$D$6,"Vencida",IF(E41=Supuestos!$D$6,"Vence hoy","Por vencer")))),"")</f>
        <v/>
      </c>
      <c r="T41" s="33">
        <f>IF(AND(Creditos!$C$6&lt;&gt;"",Creditos!$M$6="OK",36&lt;=Creditos!$H$6),IF(P41&gt;0.005,E41,999999),999999)</f>
        <v>999999</v>
      </c>
      <c r="U41" s="1"/>
      <c r="V41" s="1"/>
    </row>
    <row r="42" ht="25.5" customHeight="1">
      <c r="A42" s="1"/>
      <c r="B42" s="1"/>
      <c r="C42" s="33" t="str">
        <f>IF(AND(Creditos!$C$6&lt;&gt;"",Creditos!$M$6="OK",37&lt;=Creditos!$H$6),Creditos!$C$6,"")</f>
        <v/>
      </c>
      <c r="D42" s="33" t="str">
        <f>IF(AND(Creditos!$C$6&lt;&gt;"",Creditos!$M$6="OK",37&lt;=Creditos!$H$6),37,"")</f>
        <v/>
      </c>
      <c r="E42" s="35" t="str">
        <f>IF(AND(Creditos!$C$6&lt;&gt;"",Creditos!$M$6="OK",37&lt;=Creditos!$H$6),EDATE(Creditos!$I$6,36),"")</f>
        <v/>
      </c>
      <c r="F42" s="36" t="str">
        <f>IF(AND(Creditos!$C$6&lt;&gt;"",Creditos!$M$6="OK",37&lt;=Creditos!$H$6),M41,"")</f>
        <v/>
      </c>
      <c r="G42" s="37" t="str">
        <f>IF(AND(Creditos!$C$6&lt;&gt;"",Creditos!$M$6="OK",37&lt;=Creditos!$H$6),Creditos!$N$6,"")</f>
        <v/>
      </c>
      <c r="H42" s="36" t="str">
        <f>IF(AND(Creditos!$C$6&lt;&gt;"",Creditos!$M$6="OK",37&lt;=Creditos!$H$6),ROUND(F42*G42,2),"")</f>
        <v/>
      </c>
      <c r="I42" s="36" t="str">
        <f>IF(AND(Creditos!$C$6&lt;&gt;"",Creditos!$M$6="OK",37&lt;=Creditos!$H$6),IF(37=Creditos!$H$6,F42+H42,MIN(Creditos!$O$6,F42+H42)),"")</f>
        <v/>
      </c>
      <c r="J42" s="36" t="str">
        <f>IF(AND(Creditos!$C$6&lt;&gt;"",Creditos!$M$6="OK",37&lt;=Creditos!$H$6),MIN(F42,MAX(0,I42-H42)),"")</f>
        <v/>
      </c>
      <c r="K42" s="36" t="str">
        <f>IF(AND(Creditos!$C$6&lt;&gt;"",Creditos!$M$6="OK",37&lt;=Creditos!$H$6),Creditos!$J$6+Creditos!$K$6,"")</f>
        <v/>
      </c>
      <c r="L42" s="36" t="str">
        <f>IF(AND(Creditos!$C$6&lt;&gt;"",Creditos!$M$6="OK",37&lt;=Creditos!$H$6),I42+K42,"")</f>
        <v/>
      </c>
      <c r="M42" s="36" t="str">
        <f>IF(AND(Creditos!$C$6&lt;&gt;"",Creditos!$M$6="OK",37&lt;=Creditos!$H$6),MAX(0,F42-J42),"")</f>
        <v/>
      </c>
      <c r="N42" s="36" t="str">
        <f>IF(AND(Creditos!$C$6&lt;&gt;"",Creditos!$M$6="OK",37&lt;=Creditos!$H$6),SUMIFS(Pagos!$F$6:$F$305,Pagos!$C$6:$C$305,C42,Pagos!$D$6:$D$305,D42,Pagos!$E$6:$E$305,"&lt;="&amp;Supuestos!$D$6,Pagos!$H$6:$H$305,"OK"),"")</f>
        <v/>
      </c>
      <c r="O42" s="36" t="str">
        <f>IF(AND(Creditos!$C$6&lt;&gt;"",Creditos!$M$6="OK",37&lt;=Creditos!$H$6),MIN(J42,MAX(0,N42-K42-H42)),"")</f>
        <v/>
      </c>
      <c r="P42" s="36" t="str">
        <f>IF(AND(Creditos!$C$6&lt;&gt;"",Creditos!$M$6="OK",37&lt;=Creditos!$H$6),MAX(0,L42-N42),"")</f>
        <v/>
      </c>
      <c r="Q42" s="39" t="str">
        <f>IF(AND(Creditos!$C$6&lt;&gt;"",Creditos!$M$6="OK",37&lt;=Creditos!$H$6),IF(AND(E42&lt;Supuestos!$D$6,P42&gt;0.005),Supuestos!$D$6-E42,0),"")</f>
        <v/>
      </c>
      <c r="R42" s="36" t="str">
        <f>IF(AND(Creditos!$C$6&lt;&gt;"",Creditos!$M$6="OK",37&lt;=Creditos!$H$6),MAX(0,N42-L42),"")</f>
        <v/>
      </c>
      <c r="S42" s="33" t="str">
        <f>IF(AND(Creditos!$C$6&lt;&gt;"",Creditos!$M$6="OK",37&lt;=Creditos!$H$6),IF(R42&gt;0.005,"Exceso sin imputar",IF(P42&lt;=0.005,"Pagada",IF(E42&lt;Supuestos!$D$6,"Vencida",IF(E42=Supuestos!$D$6,"Vence hoy","Por vencer")))),"")</f>
        <v/>
      </c>
      <c r="T42" s="33">
        <f>IF(AND(Creditos!$C$6&lt;&gt;"",Creditos!$M$6="OK",37&lt;=Creditos!$H$6),IF(P42&gt;0.005,E42,999999),999999)</f>
        <v>999999</v>
      </c>
      <c r="U42" s="1"/>
      <c r="V42" s="1"/>
    </row>
    <row r="43" ht="25.5" customHeight="1">
      <c r="A43" s="1"/>
      <c r="B43" s="1"/>
      <c r="C43" s="33" t="str">
        <f>IF(AND(Creditos!$C$6&lt;&gt;"",Creditos!$M$6="OK",38&lt;=Creditos!$H$6),Creditos!$C$6,"")</f>
        <v/>
      </c>
      <c r="D43" s="33" t="str">
        <f>IF(AND(Creditos!$C$6&lt;&gt;"",Creditos!$M$6="OK",38&lt;=Creditos!$H$6),38,"")</f>
        <v/>
      </c>
      <c r="E43" s="35" t="str">
        <f>IF(AND(Creditos!$C$6&lt;&gt;"",Creditos!$M$6="OK",38&lt;=Creditos!$H$6),EDATE(Creditos!$I$6,37),"")</f>
        <v/>
      </c>
      <c r="F43" s="36" t="str">
        <f>IF(AND(Creditos!$C$6&lt;&gt;"",Creditos!$M$6="OK",38&lt;=Creditos!$H$6),M42,"")</f>
        <v/>
      </c>
      <c r="G43" s="37" t="str">
        <f>IF(AND(Creditos!$C$6&lt;&gt;"",Creditos!$M$6="OK",38&lt;=Creditos!$H$6),Creditos!$N$6,"")</f>
        <v/>
      </c>
      <c r="H43" s="36" t="str">
        <f>IF(AND(Creditos!$C$6&lt;&gt;"",Creditos!$M$6="OK",38&lt;=Creditos!$H$6),ROUND(F43*G43,2),"")</f>
        <v/>
      </c>
      <c r="I43" s="36" t="str">
        <f>IF(AND(Creditos!$C$6&lt;&gt;"",Creditos!$M$6="OK",38&lt;=Creditos!$H$6),IF(38=Creditos!$H$6,F43+H43,MIN(Creditos!$O$6,F43+H43)),"")</f>
        <v/>
      </c>
      <c r="J43" s="36" t="str">
        <f>IF(AND(Creditos!$C$6&lt;&gt;"",Creditos!$M$6="OK",38&lt;=Creditos!$H$6),MIN(F43,MAX(0,I43-H43)),"")</f>
        <v/>
      </c>
      <c r="K43" s="36" t="str">
        <f>IF(AND(Creditos!$C$6&lt;&gt;"",Creditos!$M$6="OK",38&lt;=Creditos!$H$6),Creditos!$J$6+Creditos!$K$6,"")</f>
        <v/>
      </c>
      <c r="L43" s="36" t="str">
        <f>IF(AND(Creditos!$C$6&lt;&gt;"",Creditos!$M$6="OK",38&lt;=Creditos!$H$6),I43+K43,"")</f>
        <v/>
      </c>
      <c r="M43" s="36" t="str">
        <f>IF(AND(Creditos!$C$6&lt;&gt;"",Creditos!$M$6="OK",38&lt;=Creditos!$H$6),MAX(0,F43-J43),"")</f>
        <v/>
      </c>
      <c r="N43" s="36" t="str">
        <f>IF(AND(Creditos!$C$6&lt;&gt;"",Creditos!$M$6="OK",38&lt;=Creditos!$H$6),SUMIFS(Pagos!$F$6:$F$305,Pagos!$C$6:$C$305,C43,Pagos!$D$6:$D$305,D43,Pagos!$E$6:$E$305,"&lt;="&amp;Supuestos!$D$6,Pagos!$H$6:$H$305,"OK"),"")</f>
        <v/>
      </c>
      <c r="O43" s="36" t="str">
        <f>IF(AND(Creditos!$C$6&lt;&gt;"",Creditos!$M$6="OK",38&lt;=Creditos!$H$6),MIN(J43,MAX(0,N43-K43-H43)),"")</f>
        <v/>
      </c>
      <c r="P43" s="36" t="str">
        <f>IF(AND(Creditos!$C$6&lt;&gt;"",Creditos!$M$6="OK",38&lt;=Creditos!$H$6),MAX(0,L43-N43),"")</f>
        <v/>
      </c>
      <c r="Q43" s="39" t="str">
        <f>IF(AND(Creditos!$C$6&lt;&gt;"",Creditos!$M$6="OK",38&lt;=Creditos!$H$6),IF(AND(E43&lt;Supuestos!$D$6,P43&gt;0.005),Supuestos!$D$6-E43,0),"")</f>
        <v/>
      </c>
      <c r="R43" s="36" t="str">
        <f>IF(AND(Creditos!$C$6&lt;&gt;"",Creditos!$M$6="OK",38&lt;=Creditos!$H$6),MAX(0,N43-L43),"")</f>
        <v/>
      </c>
      <c r="S43" s="33" t="str">
        <f>IF(AND(Creditos!$C$6&lt;&gt;"",Creditos!$M$6="OK",38&lt;=Creditos!$H$6),IF(R43&gt;0.005,"Exceso sin imputar",IF(P43&lt;=0.005,"Pagada",IF(E43&lt;Supuestos!$D$6,"Vencida",IF(E43=Supuestos!$D$6,"Vence hoy","Por vencer")))),"")</f>
        <v/>
      </c>
      <c r="T43" s="33">
        <f>IF(AND(Creditos!$C$6&lt;&gt;"",Creditos!$M$6="OK",38&lt;=Creditos!$H$6),IF(P43&gt;0.005,E43,999999),999999)</f>
        <v>999999</v>
      </c>
      <c r="U43" s="1"/>
      <c r="V43" s="1"/>
    </row>
    <row r="44" ht="25.5" customHeight="1">
      <c r="A44" s="1"/>
      <c r="B44" s="1"/>
      <c r="C44" s="33" t="str">
        <f>IF(AND(Creditos!$C$6&lt;&gt;"",Creditos!$M$6="OK",39&lt;=Creditos!$H$6),Creditos!$C$6,"")</f>
        <v/>
      </c>
      <c r="D44" s="33" t="str">
        <f>IF(AND(Creditos!$C$6&lt;&gt;"",Creditos!$M$6="OK",39&lt;=Creditos!$H$6),39,"")</f>
        <v/>
      </c>
      <c r="E44" s="35" t="str">
        <f>IF(AND(Creditos!$C$6&lt;&gt;"",Creditos!$M$6="OK",39&lt;=Creditos!$H$6),EDATE(Creditos!$I$6,38),"")</f>
        <v/>
      </c>
      <c r="F44" s="36" t="str">
        <f>IF(AND(Creditos!$C$6&lt;&gt;"",Creditos!$M$6="OK",39&lt;=Creditos!$H$6),M43,"")</f>
        <v/>
      </c>
      <c r="G44" s="37" t="str">
        <f>IF(AND(Creditos!$C$6&lt;&gt;"",Creditos!$M$6="OK",39&lt;=Creditos!$H$6),Creditos!$N$6,"")</f>
        <v/>
      </c>
      <c r="H44" s="36" t="str">
        <f>IF(AND(Creditos!$C$6&lt;&gt;"",Creditos!$M$6="OK",39&lt;=Creditos!$H$6),ROUND(F44*G44,2),"")</f>
        <v/>
      </c>
      <c r="I44" s="36" t="str">
        <f>IF(AND(Creditos!$C$6&lt;&gt;"",Creditos!$M$6="OK",39&lt;=Creditos!$H$6),IF(39=Creditos!$H$6,F44+H44,MIN(Creditos!$O$6,F44+H44)),"")</f>
        <v/>
      </c>
      <c r="J44" s="36" t="str">
        <f>IF(AND(Creditos!$C$6&lt;&gt;"",Creditos!$M$6="OK",39&lt;=Creditos!$H$6),MIN(F44,MAX(0,I44-H44)),"")</f>
        <v/>
      </c>
      <c r="K44" s="36" t="str">
        <f>IF(AND(Creditos!$C$6&lt;&gt;"",Creditos!$M$6="OK",39&lt;=Creditos!$H$6),Creditos!$J$6+Creditos!$K$6,"")</f>
        <v/>
      </c>
      <c r="L44" s="36" t="str">
        <f>IF(AND(Creditos!$C$6&lt;&gt;"",Creditos!$M$6="OK",39&lt;=Creditos!$H$6),I44+K44,"")</f>
        <v/>
      </c>
      <c r="M44" s="36" t="str">
        <f>IF(AND(Creditos!$C$6&lt;&gt;"",Creditos!$M$6="OK",39&lt;=Creditos!$H$6),MAX(0,F44-J44),"")</f>
        <v/>
      </c>
      <c r="N44" s="36" t="str">
        <f>IF(AND(Creditos!$C$6&lt;&gt;"",Creditos!$M$6="OK",39&lt;=Creditos!$H$6),SUMIFS(Pagos!$F$6:$F$305,Pagos!$C$6:$C$305,C44,Pagos!$D$6:$D$305,D44,Pagos!$E$6:$E$305,"&lt;="&amp;Supuestos!$D$6,Pagos!$H$6:$H$305,"OK"),"")</f>
        <v/>
      </c>
      <c r="O44" s="36" t="str">
        <f>IF(AND(Creditos!$C$6&lt;&gt;"",Creditos!$M$6="OK",39&lt;=Creditos!$H$6),MIN(J44,MAX(0,N44-K44-H44)),"")</f>
        <v/>
      </c>
      <c r="P44" s="36" t="str">
        <f>IF(AND(Creditos!$C$6&lt;&gt;"",Creditos!$M$6="OK",39&lt;=Creditos!$H$6),MAX(0,L44-N44),"")</f>
        <v/>
      </c>
      <c r="Q44" s="39" t="str">
        <f>IF(AND(Creditos!$C$6&lt;&gt;"",Creditos!$M$6="OK",39&lt;=Creditos!$H$6),IF(AND(E44&lt;Supuestos!$D$6,P44&gt;0.005),Supuestos!$D$6-E44,0),"")</f>
        <v/>
      </c>
      <c r="R44" s="36" t="str">
        <f>IF(AND(Creditos!$C$6&lt;&gt;"",Creditos!$M$6="OK",39&lt;=Creditos!$H$6),MAX(0,N44-L44),"")</f>
        <v/>
      </c>
      <c r="S44" s="33" t="str">
        <f>IF(AND(Creditos!$C$6&lt;&gt;"",Creditos!$M$6="OK",39&lt;=Creditos!$H$6),IF(R44&gt;0.005,"Exceso sin imputar",IF(P44&lt;=0.005,"Pagada",IF(E44&lt;Supuestos!$D$6,"Vencida",IF(E44=Supuestos!$D$6,"Vence hoy","Por vencer")))),"")</f>
        <v/>
      </c>
      <c r="T44" s="33">
        <f>IF(AND(Creditos!$C$6&lt;&gt;"",Creditos!$M$6="OK",39&lt;=Creditos!$H$6),IF(P44&gt;0.005,E44,999999),999999)</f>
        <v>999999</v>
      </c>
      <c r="U44" s="1"/>
      <c r="V44" s="1"/>
    </row>
    <row r="45" ht="25.5" customHeight="1">
      <c r="A45" s="1"/>
      <c r="B45" s="1"/>
      <c r="C45" s="33" t="str">
        <f>IF(AND(Creditos!$C$6&lt;&gt;"",Creditos!$M$6="OK",40&lt;=Creditos!$H$6),Creditos!$C$6,"")</f>
        <v/>
      </c>
      <c r="D45" s="33" t="str">
        <f>IF(AND(Creditos!$C$6&lt;&gt;"",Creditos!$M$6="OK",40&lt;=Creditos!$H$6),40,"")</f>
        <v/>
      </c>
      <c r="E45" s="35" t="str">
        <f>IF(AND(Creditos!$C$6&lt;&gt;"",Creditos!$M$6="OK",40&lt;=Creditos!$H$6),EDATE(Creditos!$I$6,39),"")</f>
        <v/>
      </c>
      <c r="F45" s="36" t="str">
        <f>IF(AND(Creditos!$C$6&lt;&gt;"",Creditos!$M$6="OK",40&lt;=Creditos!$H$6),M44,"")</f>
        <v/>
      </c>
      <c r="G45" s="37" t="str">
        <f>IF(AND(Creditos!$C$6&lt;&gt;"",Creditos!$M$6="OK",40&lt;=Creditos!$H$6),Creditos!$N$6,"")</f>
        <v/>
      </c>
      <c r="H45" s="36" t="str">
        <f>IF(AND(Creditos!$C$6&lt;&gt;"",Creditos!$M$6="OK",40&lt;=Creditos!$H$6),ROUND(F45*G45,2),"")</f>
        <v/>
      </c>
      <c r="I45" s="36" t="str">
        <f>IF(AND(Creditos!$C$6&lt;&gt;"",Creditos!$M$6="OK",40&lt;=Creditos!$H$6),IF(40=Creditos!$H$6,F45+H45,MIN(Creditos!$O$6,F45+H45)),"")</f>
        <v/>
      </c>
      <c r="J45" s="36" t="str">
        <f>IF(AND(Creditos!$C$6&lt;&gt;"",Creditos!$M$6="OK",40&lt;=Creditos!$H$6),MIN(F45,MAX(0,I45-H45)),"")</f>
        <v/>
      </c>
      <c r="K45" s="36" t="str">
        <f>IF(AND(Creditos!$C$6&lt;&gt;"",Creditos!$M$6="OK",40&lt;=Creditos!$H$6),Creditos!$J$6+Creditos!$K$6,"")</f>
        <v/>
      </c>
      <c r="L45" s="36" t="str">
        <f>IF(AND(Creditos!$C$6&lt;&gt;"",Creditos!$M$6="OK",40&lt;=Creditos!$H$6),I45+K45,"")</f>
        <v/>
      </c>
      <c r="M45" s="36" t="str">
        <f>IF(AND(Creditos!$C$6&lt;&gt;"",Creditos!$M$6="OK",40&lt;=Creditos!$H$6),MAX(0,F45-J45),"")</f>
        <v/>
      </c>
      <c r="N45" s="36" t="str">
        <f>IF(AND(Creditos!$C$6&lt;&gt;"",Creditos!$M$6="OK",40&lt;=Creditos!$H$6),SUMIFS(Pagos!$F$6:$F$305,Pagos!$C$6:$C$305,C45,Pagos!$D$6:$D$305,D45,Pagos!$E$6:$E$305,"&lt;="&amp;Supuestos!$D$6,Pagos!$H$6:$H$305,"OK"),"")</f>
        <v/>
      </c>
      <c r="O45" s="36" t="str">
        <f>IF(AND(Creditos!$C$6&lt;&gt;"",Creditos!$M$6="OK",40&lt;=Creditos!$H$6),MIN(J45,MAX(0,N45-K45-H45)),"")</f>
        <v/>
      </c>
      <c r="P45" s="36" t="str">
        <f>IF(AND(Creditos!$C$6&lt;&gt;"",Creditos!$M$6="OK",40&lt;=Creditos!$H$6),MAX(0,L45-N45),"")</f>
        <v/>
      </c>
      <c r="Q45" s="39" t="str">
        <f>IF(AND(Creditos!$C$6&lt;&gt;"",Creditos!$M$6="OK",40&lt;=Creditos!$H$6),IF(AND(E45&lt;Supuestos!$D$6,P45&gt;0.005),Supuestos!$D$6-E45,0),"")</f>
        <v/>
      </c>
      <c r="R45" s="36" t="str">
        <f>IF(AND(Creditos!$C$6&lt;&gt;"",Creditos!$M$6="OK",40&lt;=Creditos!$H$6),MAX(0,N45-L45),"")</f>
        <v/>
      </c>
      <c r="S45" s="33" t="str">
        <f>IF(AND(Creditos!$C$6&lt;&gt;"",Creditos!$M$6="OK",40&lt;=Creditos!$H$6),IF(R45&gt;0.005,"Exceso sin imputar",IF(P45&lt;=0.005,"Pagada",IF(E45&lt;Supuestos!$D$6,"Vencida",IF(E45=Supuestos!$D$6,"Vence hoy","Por vencer")))),"")</f>
        <v/>
      </c>
      <c r="T45" s="33">
        <f>IF(AND(Creditos!$C$6&lt;&gt;"",Creditos!$M$6="OK",40&lt;=Creditos!$H$6),IF(P45&gt;0.005,E45,999999),999999)</f>
        <v>999999</v>
      </c>
      <c r="U45" s="1"/>
      <c r="V45" s="1"/>
    </row>
    <row r="46" ht="25.5" customHeight="1">
      <c r="A46" s="1"/>
      <c r="B46" s="1"/>
      <c r="C46" s="33" t="str">
        <f>IF(AND(Creditos!$C$6&lt;&gt;"",Creditos!$M$6="OK",41&lt;=Creditos!$H$6),Creditos!$C$6,"")</f>
        <v/>
      </c>
      <c r="D46" s="33" t="str">
        <f>IF(AND(Creditos!$C$6&lt;&gt;"",Creditos!$M$6="OK",41&lt;=Creditos!$H$6),41,"")</f>
        <v/>
      </c>
      <c r="E46" s="35" t="str">
        <f>IF(AND(Creditos!$C$6&lt;&gt;"",Creditos!$M$6="OK",41&lt;=Creditos!$H$6),EDATE(Creditos!$I$6,40),"")</f>
        <v/>
      </c>
      <c r="F46" s="36" t="str">
        <f>IF(AND(Creditos!$C$6&lt;&gt;"",Creditos!$M$6="OK",41&lt;=Creditos!$H$6),M45,"")</f>
        <v/>
      </c>
      <c r="G46" s="37" t="str">
        <f>IF(AND(Creditos!$C$6&lt;&gt;"",Creditos!$M$6="OK",41&lt;=Creditos!$H$6),Creditos!$N$6,"")</f>
        <v/>
      </c>
      <c r="H46" s="36" t="str">
        <f>IF(AND(Creditos!$C$6&lt;&gt;"",Creditos!$M$6="OK",41&lt;=Creditos!$H$6),ROUND(F46*G46,2),"")</f>
        <v/>
      </c>
      <c r="I46" s="36" t="str">
        <f>IF(AND(Creditos!$C$6&lt;&gt;"",Creditos!$M$6="OK",41&lt;=Creditos!$H$6),IF(41=Creditos!$H$6,F46+H46,MIN(Creditos!$O$6,F46+H46)),"")</f>
        <v/>
      </c>
      <c r="J46" s="36" t="str">
        <f>IF(AND(Creditos!$C$6&lt;&gt;"",Creditos!$M$6="OK",41&lt;=Creditos!$H$6),MIN(F46,MAX(0,I46-H46)),"")</f>
        <v/>
      </c>
      <c r="K46" s="36" t="str">
        <f>IF(AND(Creditos!$C$6&lt;&gt;"",Creditos!$M$6="OK",41&lt;=Creditos!$H$6),Creditos!$J$6+Creditos!$K$6,"")</f>
        <v/>
      </c>
      <c r="L46" s="36" t="str">
        <f>IF(AND(Creditos!$C$6&lt;&gt;"",Creditos!$M$6="OK",41&lt;=Creditos!$H$6),I46+K46,"")</f>
        <v/>
      </c>
      <c r="M46" s="36" t="str">
        <f>IF(AND(Creditos!$C$6&lt;&gt;"",Creditos!$M$6="OK",41&lt;=Creditos!$H$6),MAX(0,F46-J46),"")</f>
        <v/>
      </c>
      <c r="N46" s="36" t="str">
        <f>IF(AND(Creditos!$C$6&lt;&gt;"",Creditos!$M$6="OK",41&lt;=Creditos!$H$6),SUMIFS(Pagos!$F$6:$F$305,Pagos!$C$6:$C$305,C46,Pagos!$D$6:$D$305,D46,Pagos!$E$6:$E$305,"&lt;="&amp;Supuestos!$D$6,Pagos!$H$6:$H$305,"OK"),"")</f>
        <v/>
      </c>
      <c r="O46" s="36" t="str">
        <f>IF(AND(Creditos!$C$6&lt;&gt;"",Creditos!$M$6="OK",41&lt;=Creditos!$H$6),MIN(J46,MAX(0,N46-K46-H46)),"")</f>
        <v/>
      </c>
      <c r="P46" s="36" t="str">
        <f>IF(AND(Creditos!$C$6&lt;&gt;"",Creditos!$M$6="OK",41&lt;=Creditos!$H$6),MAX(0,L46-N46),"")</f>
        <v/>
      </c>
      <c r="Q46" s="39" t="str">
        <f>IF(AND(Creditos!$C$6&lt;&gt;"",Creditos!$M$6="OK",41&lt;=Creditos!$H$6),IF(AND(E46&lt;Supuestos!$D$6,P46&gt;0.005),Supuestos!$D$6-E46,0),"")</f>
        <v/>
      </c>
      <c r="R46" s="36" t="str">
        <f>IF(AND(Creditos!$C$6&lt;&gt;"",Creditos!$M$6="OK",41&lt;=Creditos!$H$6),MAX(0,N46-L46),"")</f>
        <v/>
      </c>
      <c r="S46" s="33" t="str">
        <f>IF(AND(Creditos!$C$6&lt;&gt;"",Creditos!$M$6="OK",41&lt;=Creditos!$H$6),IF(R46&gt;0.005,"Exceso sin imputar",IF(P46&lt;=0.005,"Pagada",IF(E46&lt;Supuestos!$D$6,"Vencida",IF(E46=Supuestos!$D$6,"Vence hoy","Por vencer")))),"")</f>
        <v/>
      </c>
      <c r="T46" s="33">
        <f>IF(AND(Creditos!$C$6&lt;&gt;"",Creditos!$M$6="OK",41&lt;=Creditos!$H$6),IF(P46&gt;0.005,E46,999999),999999)</f>
        <v>999999</v>
      </c>
      <c r="U46" s="1"/>
      <c r="V46" s="1"/>
    </row>
    <row r="47" ht="25.5" customHeight="1">
      <c r="A47" s="1"/>
      <c r="B47" s="1"/>
      <c r="C47" s="33" t="str">
        <f>IF(AND(Creditos!$C$6&lt;&gt;"",Creditos!$M$6="OK",42&lt;=Creditos!$H$6),Creditos!$C$6,"")</f>
        <v/>
      </c>
      <c r="D47" s="33" t="str">
        <f>IF(AND(Creditos!$C$6&lt;&gt;"",Creditos!$M$6="OK",42&lt;=Creditos!$H$6),42,"")</f>
        <v/>
      </c>
      <c r="E47" s="35" t="str">
        <f>IF(AND(Creditos!$C$6&lt;&gt;"",Creditos!$M$6="OK",42&lt;=Creditos!$H$6),EDATE(Creditos!$I$6,41),"")</f>
        <v/>
      </c>
      <c r="F47" s="36" t="str">
        <f>IF(AND(Creditos!$C$6&lt;&gt;"",Creditos!$M$6="OK",42&lt;=Creditos!$H$6),M46,"")</f>
        <v/>
      </c>
      <c r="G47" s="37" t="str">
        <f>IF(AND(Creditos!$C$6&lt;&gt;"",Creditos!$M$6="OK",42&lt;=Creditos!$H$6),Creditos!$N$6,"")</f>
        <v/>
      </c>
      <c r="H47" s="36" t="str">
        <f>IF(AND(Creditos!$C$6&lt;&gt;"",Creditos!$M$6="OK",42&lt;=Creditos!$H$6),ROUND(F47*G47,2),"")</f>
        <v/>
      </c>
      <c r="I47" s="36" t="str">
        <f>IF(AND(Creditos!$C$6&lt;&gt;"",Creditos!$M$6="OK",42&lt;=Creditos!$H$6),IF(42=Creditos!$H$6,F47+H47,MIN(Creditos!$O$6,F47+H47)),"")</f>
        <v/>
      </c>
      <c r="J47" s="36" t="str">
        <f>IF(AND(Creditos!$C$6&lt;&gt;"",Creditos!$M$6="OK",42&lt;=Creditos!$H$6),MIN(F47,MAX(0,I47-H47)),"")</f>
        <v/>
      </c>
      <c r="K47" s="36" t="str">
        <f>IF(AND(Creditos!$C$6&lt;&gt;"",Creditos!$M$6="OK",42&lt;=Creditos!$H$6),Creditos!$J$6+Creditos!$K$6,"")</f>
        <v/>
      </c>
      <c r="L47" s="36" t="str">
        <f>IF(AND(Creditos!$C$6&lt;&gt;"",Creditos!$M$6="OK",42&lt;=Creditos!$H$6),I47+K47,"")</f>
        <v/>
      </c>
      <c r="M47" s="36" t="str">
        <f>IF(AND(Creditos!$C$6&lt;&gt;"",Creditos!$M$6="OK",42&lt;=Creditos!$H$6),MAX(0,F47-J47),"")</f>
        <v/>
      </c>
      <c r="N47" s="36" t="str">
        <f>IF(AND(Creditos!$C$6&lt;&gt;"",Creditos!$M$6="OK",42&lt;=Creditos!$H$6),SUMIFS(Pagos!$F$6:$F$305,Pagos!$C$6:$C$305,C47,Pagos!$D$6:$D$305,D47,Pagos!$E$6:$E$305,"&lt;="&amp;Supuestos!$D$6,Pagos!$H$6:$H$305,"OK"),"")</f>
        <v/>
      </c>
      <c r="O47" s="36" t="str">
        <f>IF(AND(Creditos!$C$6&lt;&gt;"",Creditos!$M$6="OK",42&lt;=Creditos!$H$6),MIN(J47,MAX(0,N47-K47-H47)),"")</f>
        <v/>
      </c>
      <c r="P47" s="36" t="str">
        <f>IF(AND(Creditos!$C$6&lt;&gt;"",Creditos!$M$6="OK",42&lt;=Creditos!$H$6),MAX(0,L47-N47),"")</f>
        <v/>
      </c>
      <c r="Q47" s="39" t="str">
        <f>IF(AND(Creditos!$C$6&lt;&gt;"",Creditos!$M$6="OK",42&lt;=Creditos!$H$6),IF(AND(E47&lt;Supuestos!$D$6,P47&gt;0.005),Supuestos!$D$6-E47,0),"")</f>
        <v/>
      </c>
      <c r="R47" s="36" t="str">
        <f>IF(AND(Creditos!$C$6&lt;&gt;"",Creditos!$M$6="OK",42&lt;=Creditos!$H$6),MAX(0,N47-L47),"")</f>
        <v/>
      </c>
      <c r="S47" s="33" t="str">
        <f>IF(AND(Creditos!$C$6&lt;&gt;"",Creditos!$M$6="OK",42&lt;=Creditos!$H$6),IF(R47&gt;0.005,"Exceso sin imputar",IF(P47&lt;=0.005,"Pagada",IF(E47&lt;Supuestos!$D$6,"Vencida",IF(E47=Supuestos!$D$6,"Vence hoy","Por vencer")))),"")</f>
        <v/>
      </c>
      <c r="T47" s="33">
        <f>IF(AND(Creditos!$C$6&lt;&gt;"",Creditos!$M$6="OK",42&lt;=Creditos!$H$6),IF(P47&gt;0.005,E47,999999),999999)</f>
        <v>999999</v>
      </c>
      <c r="U47" s="1"/>
      <c r="V47" s="1"/>
    </row>
    <row r="48" ht="25.5" customHeight="1">
      <c r="A48" s="1"/>
      <c r="B48" s="1"/>
      <c r="C48" s="33" t="str">
        <f>IF(AND(Creditos!$C$6&lt;&gt;"",Creditos!$M$6="OK",43&lt;=Creditos!$H$6),Creditos!$C$6,"")</f>
        <v/>
      </c>
      <c r="D48" s="33" t="str">
        <f>IF(AND(Creditos!$C$6&lt;&gt;"",Creditos!$M$6="OK",43&lt;=Creditos!$H$6),43,"")</f>
        <v/>
      </c>
      <c r="E48" s="35" t="str">
        <f>IF(AND(Creditos!$C$6&lt;&gt;"",Creditos!$M$6="OK",43&lt;=Creditos!$H$6),EDATE(Creditos!$I$6,42),"")</f>
        <v/>
      </c>
      <c r="F48" s="36" t="str">
        <f>IF(AND(Creditos!$C$6&lt;&gt;"",Creditos!$M$6="OK",43&lt;=Creditos!$H$6),M47,"")</f>
        <v/>
      </c>
      <c r="G48" s="37" t="str">
        <f>IF(AND(Creditos!$C$6&lt;&gt;"",Creditos!$M$6="OK",43&lt;=Creditos!$H$6),Creditos!$N$6,"")</f>
        <v/>
      </c>
      <c r="H48" s="36" t="str">
        <f>IF(AND(Creditos!$C$6&lt;&gt;"",Creditos!$M$6="OK",43&lt;=Creditos!$H$6),ROUND(F48*G48,2),"")</f>
        <v/>
      </c>
      <c r="I48" s="36" t="str">
        <f>IF(AND(Creditos!$C$6&lt;&gt;"",Creditos!$M$6="OK",43&lt;=Creditos!$H$6),IF(43=Creditos!$H$6,F48+H48,MIN(Creditos!$O$6,F48+H48)),"")</f>
        <v/>
      </c>
      <c r="J48" s="36" t="str">
        <f>IF(AND(Creditos!$C$6&lt;&gt;"",Creditos!$M$6="OK",43&lt;=Creditos!$H$6),MIN(F48,MAX(0,I48-H48)),"")</f>
        <v/>
      </c>
      <c r="K48" s="36" t="str">
        <f>IF(AND(Creditos!$C$6&lt;&gt;"",Creditos!$M$6="OK",43&lt;=Creditos!$H$6),Creditos!$J$6+Creditos!$K$6,"")</f>
        <v/>
      </c>
      <c r="L48" s="36" t="str">
        <f>IF(AND(Creditos!$C$6&lt;&gt;"",Creditos!$M$6="OK",43&lt;=Creditos!$H$6),I48+K48,"")</f>
        <v/>
      </c>
      <c r="M48" s="36" t="str">
        <f>IF(AND(Creditos!$C$6&lt;&gt;"",Creditos!$M$6="OK",43&lt;=Creditos!$H$6),MAX(0,F48-J48),"")</f>
        <v/>
      </c>
      <c r="N48" s="36" t="str">
        <f>IF(AND(Creditos!$C$6&lt;&gt;"",Creditos!$M$6="OK",43&lt;=Creditos!$H$6),SUMIFS(Pagos!$F$6:$F$305,Pagos!$C$6:$C$305,C48,Pagos!$D$6:$D$305,D48,Pagos!$E$6:$E$305,"&lt;="&amp;Supuestos!$D$6,Pagos!$H$6:$H$305,"OK"),"")</f>
        <v/>
      </c>
      <c r="O48" s="36" t="str">
        <f>IF(AND(Creditos!$C$6&lt;&gt;"",Creditos!$M$6="OK",43&lt;=Creditos!$H$6),MIN(J48,MAX(0,N48-K48-H48)),"")</f>
        <v/>
      </c>
      <c r="P48" s="36" t="str">
        <f>IF(AND(Creditos!$C$6&lt;&gt;"",Creditos!$M$6="OK",43&lt;=Creditos!$H$6),MAX(0,L48-N48),"")</f>
        <v/>
      </c>
      <c r="Q48" s="39" t="str">
        <f>IF(AND(Creditos!$C$6&lt;&gt;"",Creditos!$M$6="OK",43&lt;=Creditos!$H$6),IF(AND(E48&lt;Supuestos!$D$6,P48&gt;0.005),Supuestos!$D$6-E48,0),"")</f>
        <v/>
      </c>
      <c r="R48" s="36" t="str">
        <f>IF(AND(Creditos!$C$6&lt;&gt;"",Creditos!$M$6="OK",43&lt;=Creditos!$H$6),MAX(0,N48-L48),"")</f>
        <v/>
      </c>
      <c r="S48" s="33" t="str">
        <f>IF(AND(Creditos!$C$6&lt;&gt;"",Creditos!$M$6="OK",43&lt;=Creditos!$H$6),IF(R48&gt;0.005,"Exceso sin imputar",IF(P48&lt;=0.005,"Pagada",IF(E48&lt;Supuestos!$D$6,"Vencida",IF(E48=Supuestos!$D$6,"Vence hoy","Por vencer")))),"")</f>
        <v/>
      </c>
      <c r="T48" s="33">
        <f>IF(AND(Creditos!$C$6&lt;&gt;"",Creditos!$M$6="OK",43&lt;=Creditos!$H$6),IF(P48&gt;0.005,E48,999999),999999)</f>
        <v>999999</v>
      </c>
      <c r="U48" s="1"/>
      <c r="V48" s="1"/>
    </row>
    <row r="49" ht="25.5" customHeight="1">
      <c r="A49" s="1"/>
      <c r="B49" s="1"/>
      <c r="C49" s="33" t="str">
        <f>IF(AND(Creditos!$C$6&lt;&gt;"",Creditos!$M$6="OK",44&lt;=Creditos!$H$6),Creditos!$C$6,"")</f>
        <v/>
      </c>
      <c r="D49" s="33" t="str">
        <f>IF(AND(Creditos!$C$6&lt;&gt;"",Creditos!$M$6="OK",44&lt;=Creditos!$H$6),44,"")</f>
        <v/>
      </c>
      <c r="E49" s="35" t="str">
        <f>IF(AND(Creditos!$C$6&lt;&gt;"",Creditos!$M$6="OK",44&lt;=Creditos!$H$6),EDATE(Creditos!$I$6,43),"")</f>
        <v/>
      </c>
      <c r="F49" s="36" t="str">
        <f>IF(AND(Creditos!$C$6&lt;&gt;"",Creditos!$M$6="OK",44&lt;=Creditos!$H$6),M48,"")</f>
        <v/>
      </c>
      <c r="G49" s="37" t="str">
        <f>IF(AND(Creditos!$C$6&lt;&gt;"",Creditos!$M$6="OK",44&lt;=Creditos!$H$6),Creditos!$N$6,"")</f>
        <v/>
      </c>
      <c r="H49" s="36" t="str">
        <f>IF(AND(Creditos!$C$6&lt;&gt;"",Creditos!$M$6="OK",44&lt;=Creditos!$H$6),ROUND(F49*G49,2),"")</f>
        <v/>
      </c>
      <c r="I49" s="36" t="str">
        <f>IF(AND(Creditos!$C$6&lt;&gt;"",Creditos!$M$6="OK",44&lt;=Creditos!$H$6),IF(44=Creditos!$H$6,F49+H49,MIN(Creditos!$O$6,F49+H49)),"")</f>
        <v/>
      </c>
      <c r="J49" s="36" t="str">
        <f>IF(AND(Creditos!$C$6&lt;&gt;"",Creditos!$M$6="OK",44&lt;=Creditos!$H$6),MIN(F49,MAX(0,I49-H49)),"")</f>
        <v/>
      </c>
      <c r="K49" s="36" t="str">
        <f>IF(AND(Creditos!$C$6&lt;&gt;"",Creditos!$M$6="OK",44&lt;=Creditos!$H$6),Creditos!$J$6+Creditos!$K$6,"")</f>
        <v/>
      </c>
      <c r="L49" s="36" t="str">
        <f>IF(AND(Creditos!$C$6&lt;&gt;"",Creditos!$M$6="OK",44&lt;=Creditos!$H$6),I49+K49,"")</f>
        <v/>
      </c>
      <c r="M49" s="36" t="str">
        <f>IF(AND(Creditos!$C$6&lt;&gt;"",Creditos!$M$6="OK",44&lt;=Creditos!$H$6),MAX(0,F49-J49),"")</f>
        <v/>
      </c>
      <c r="N49" s="36" t="str">
        <f>IF(AND(Creditos!$C$6&lt;&gt;"",Creditos!$M$6="OK",44&lt;=Creditos!$H$6),SUMIFS(Pagos!$F$6:$F$305,Pagos!$C$6:$C$305,C49,Pagos!$D$6:$D$305,D49,Pagos!$E$6:$E$305,"&lt;="&amp;Supuestos!$D$6,Pagos!$H$6:$H$305,"OK"),"")</f>
        <v/>
      </c>
      <c r="O49" s="36" t="str">
        <f>IF(AND(Creditos!$C$6&lt;&gt;"",Creditos!$M$6="OK",44&lt;=Creditos!$H$6),MIN(J49,MAX(0,N49-K49-H49)),"")</f>
        <v/>
      </c>
      <c r="P49" s="36" t="str">
        <f>IF(AND(Creditos!$C$6&lt;&gt;"",Creditos!$M$6="OK",44&lt;=Creditos!$H$6),MAX(0,L49-N49),"")</f>
        <v/>
      </c>
      <c r="Q49" s="39" t="str">
        <f>IF(AND(Creditos!$C$6&lt;&gt;"",Creditos!$M$6="OK",44&lt;=Creditos!$H$6),IF(AND(E49&lt;Supuestos!$D$6,P49&gt;0.005),Supuestos!$D$6-E49,0),"")</f>
        <v/>
      </c>
      <c r="R49" s="36" t="str">
        <f>IF(AND(Creditos!$C$6&lt;&gt;"",Creditos!$M$6="OK",44&lt;=Creditos!$H$6),MAX(0,N49-L49),"")</f>
        <v/>
      </c>
      <c r="S49" s="33" t="str">
        <f>IF(AND(Creditos!$C$6&lt;&gt;"",Creditos!$M$6="OK",44&lt;=Creditos!$H$6),IF(R49&gt;0.005,"Exceso sin imputar",IF(P49&lt;=0.005,"Pagada",IF(E49&lt;Supuestos!$D$6,"Vencida",IF(E49=Supuestos!$D$6,"Vence hoy","Por vencer")))),"")</f>
        <v/>
      </c>
      <c r="T49" s="33">
        <f>IF(AND(Creditos!$C$6&lt;&gt;"",Creditos!$M$6="OK",44&lt;=Creditos!$H$6),IF(P49&gt;0.005,E49,999999),999999)</f>
        <v>999999</v>
      </c>
      <c r="U49" s="1"/>
      <c r="V49" s="1"/>
    </row>
    <row r="50" ht="25.5" customHeight="1">
      <c r="A50" s="1"/>
      <c r="B50" s="1"/>
      <c r="C50" s="33" t="str">
        <f>IF(AND(Creditos!$C$6&lt;&gt;"",Creditos!$M$6="OK",45&lt;=Creditos!$H$6),Creditos!$C$6,"")</f>
        <v/>
      </c>
      <c r="D50" s="33" t="str">
        <f>IF(AND(Creditos!$C$6&lt;&gt;"",Creditos!$M$6="OK",45&lt;=Creditos!$H$6),45,"")</f>
        <v/>
      </c>
      <c r="E50" s="35" t="str">
        <f>IF(AND(Creditos!$C$6&lt;&gt;"",Creditos!$M$6="OK",45&lt;=Creditos!$H$6),EDATE(Creditos!$I$6,44),"")</f>
        <v/>
      </c>
      <c r="F50" s="36" t="str">
        <f>IF(AND(Creditos!$C$6&lt;&gt;"",Creditos!$M$6="OK",45&lt;=Creditos!$H$6),M49,"")</f>
        <v/>
      </c>
      <c r="G50" s="37" t="str">
        <f>IF(AND(Creditos!$C$6&lt;&gt;"",Creditos!$M$6="OK",45&lt;=Creditos!$H$6),Creditos!$N$6,"")</f>
        <v/>
      </c>
      <c r="H50" s="36" t="str">
        <f>IF(AND(Creditos!$C$6&lt;&gt;"",Creditos!$M$6="OK",45&lt;=Creditos!$H$6),ROUND(F50*G50,2),"")</f>
        <v/>
      </c>
      <c r="I50" s="36" t="str">
        <f>IF(AND(Creditos!$C$6&lt;&gt;"",Creditos!$M$6="OK",45&lt;=Creditos!$H$6),IF(45=Creditos!$H$6,F50+H50,MIN(Creditos!$O$6,F50+H50)),"")</f>
        <v/>
      </c>
      <c r="J50" s="36" t="str">
        <f>IF(AND(Creditos!$C$6&lt;&gt;"",Creditos!$M$6="OK",45&lt;=Creditos!$H$6),MIN(F50,MAX(0,I50-H50)),"")</f>
        <v/>
      </c>
      <c r="K50" s="36" t="str">
        <f>IF(AND(Creditos!$C$6&lt;&gt;"",Creditos!$M$6="OK",45&lt;=Creditos!$H$6),Creditos!$J$6+Creditos!$K$6,"")</f>
        <v/>
      </c>
      <c r="L50" s="36" t="str">
        <f>IF(AND(Creditos!$C$6&lt;&gt;"",Creditos!$M$6="OK",45&lt;=Creditos!$H$6),I50+K50,"")</f>
        <v/>
      </c>
      <c r="M50" s="36" t="str">
        <f>IF(AND(Creditos!$C$6&lt;&gt;"",Creditos!$M$6="OK",45&lt;=Creditos!$H$6),MAX(0,F50-J50),"")</f>
        <v/>
      </c>
      <c r="N50" s="36" t="str">
        <f>IF(AND(Creditos!$C$6&lt;&gt;"",Creditos!$M$6="OK",45&lt;=Creditos!$H$6),SUMIFS(Pagos!$F$6:$F$305,Pagos!$C$6:$C$305,C50,Pagos!$D$6:$D$305,D50,Pagos!$E$6:$E$305,"&lt;="&amp;Supuestos!$D$6,Pagos!$H$6:$H$305,"OK"),"")</f>
        <v/>
      </c>
      <c r="O50" s="36" t="str">
        <f>IF(AND(Creditos!$C$6&lt;&gt;"",Creditos!$M$6="OK",45&lt;=Creditos!$H$6),MIN(J50,MAX(0,N50-K50-H50)),"")</f>
        <v/>
      </c>
      <c r="P50" s="36" t="str">
        <f>IF(AND(Creditos!$C$6&lt;&gt;"",Creditos!$M$6="OK",45&lt;=Creditos!$H$6),MAX(0,L50-N50),"")</f>
        <v/>
      </c>
      <c r="Q50" s="39" t="str">
        <f>IF(AND(Creditos!$C$6&lt;&gt;"",Creditos!$M$6="OK",45&lt;=Creditos!$H$6),IF(AND(E50&lt;Supuestos!$D$6,P50&gt;0.005),Supuestos!$D$6-E50,0),"")</f>
        <v/>
      </c>
      <c r="R50" s="36" t="str">
        <f>IF(AND(Creditos!$C$6&lt;&gt;"",Creditos!$M$6="OK",45&lt;=Creditos!$H$6),MAX(0,N50-L50),"")</f>
        <v/>
      </c>
      <c r="S50" s="33" t="str">
        <f>IF(AND(Creditos!$C$6&lt;&gt;"",Creditos!$M$6="OK",45&lt;=Creditos!$H$6),IF(R50&gt;0.005,"Exceso sin imputar",IF(P50&lt;=0.005,"Pagada",IF(E50&lt;Supuestos!$D$6,"Vencida",IF(E50=Supuestos!$D$6,"Vence hoy","Por vencer")))),"")</f>
        <v/>
      </c>
      <c r="T50" s="33">
        <f>IF(AND(Creditos!$C$6&lt;&gt;"",Creditos!$M$6="OK",45&lt;=Creditos!$H$6),IF(P50&gt;0.005,E50,999999),999999)</f>
        <v>999999</v>
      </c>
      <c r="U50" s="1"/>
      <c r="V50" s="1"/>
    </row>
    <row r="51" ht="25.5" customHeight="1">
      <c r="A51" s="1"/>
      <c r="B51" s="1"/>
      <c r="C51" s="33" t="str">
        <f>IF(AND(Creditos!$C$6&lt;&gt;"",Creditos!$M$6="OK",46&lt;=Creditos!$H$6),Creditos!$C$6,"")</f>
        <v/>
      </c>
      <c r="D51" s="33" t="str">
        <f>IF(AND(Creditos!$C$6&lt;&gt;"",Creditos!$M$6="OK",46&lt;=Creditos!$H$6),46,"")</f>
        <v/>
      </c>
      <c r="E51" s="35" t="str">
        <f>IF(AND(Creditos!$C$6&lt;&gt;"",Creditos!$M$6="OK",46&lt;=Creditos!$H$6),EDATE(Creditos!$I$6,45),"")</f>
        <v/>
      </c>
      <c r="F51" s="36" t="str">
        <f>IF(AND(Creditos!$C$6&lt;&gt;"",Creditos!$M$6="OK",46&lt;=Creditos!$H$6),M50,"")</f>
        <v/>
      </c>
      <c r="G51" s="37" t="str">
        <f>IF(AND(Creditos!$C$6&lt;&gt;"",Creditos!$M$6="OK",46&lt;=Creditos!$H$6),Creditos!$N$6,"")</f>
        <v/>
      </c>
      <c r="H51" s="36" t="str">
        <f>IF(AND(Creditos!$C$6&lt;&gt;"",Creditos!$M$6="OK",46&lt;=Creditos!$H$6),ROUND(F51*G51,2),"")</f>
        <v/>
      </c>
      <c r="I51" s="36" t="str">
        <f>IF(AND(Creditos!$C$6&lt;&gt;"",Creditos!$M$6="OK",46&lt;=Creditos!$H$6),IF(46=Creditos!$H$6,F51+H51,MIN(Creditos!$O$6,F51+H51)),"")</f>
        <v/>
      </c>
      <c r="J51" s="36" t="str">
        <f>IF(AND(Creditos!$C$6&lt;&gt;"",Creditos!$M$6="OK",46&lt;=Creditos!$H$6),MIN(F51,MAX(0,I51-H51)),"")</f>
        <v/>
      </c>
      <c r="K51" s="36" t="str">
        <f>IF(AND(Creditos!$C$6&lt;&gt;"",Creditos!$M$6="OK",46&lt;=Creditos!$H$6),Creditos!$J$6+Creditos!$K$6,"")</f>
        <v/>
      </c>
      <c r="L51" s="36" t="str">
        <f>IF(AND(Creditos!$C$6&lt;&gt;"",Creditos!$M$6="OK",46&lt;=Creditos!$H$6),I51+K51,"")</f>
        <v/>
      </c>
      <c r="M51" s="36" t="str">
        <f>IF(AND(Creditos!$C$6&lt;&gt;"",Creditos!$M$6="OK",46&lt;=Creditos!$H$6),MAX(0,F51-J51),"")</f>
        <v/>
      </c>
      <c r="N51" s="36" t="str">
        <f>IF(AND(Creditos!$C$6&lt;&gt;"",Creditos!$M$6="OK",46&lt;=Creditos!$H$6),SUMIFS(Pagos!$F$6:$F$305,Pagos!$C$6:$C$305,C51,Pagos!$D$6:$D$305,D51,Pagos!$E$6:$E$305,"&lt;="&amp;Supuestos!$D$6,Pagos!$H$6:$H$305,"OK"),"")</f>
        <v/>
      </c>
      <c r="O51" s="36" t="str">
        <f>IF(AND(Creditos!$C$6&lt;&gt;"",Creditos!$M$6="OK",46&lt;=Creditos!$H$6),MIN(J51,MAX(0,N51-K51-H51)),"")</f>
        <v/>
      </c>
      <c r="P51" s="36" t="str">
        <f>IF(AND(Creditos!$C$6&lt;&gt;"",Creditos!$M$6="OK",46&lt;=Creditos!$H$6),MAX(0,L51-N51),"")</f>
        <v/>
      </c>
      <c r="Q51" s="39" t="str">
        <f>IF(AND(Creditos!$C$6&lt;&gt;"",Creditos!$M$6="OK",46&lt;=Creditos!$H$6),IF(AND(E51&lt;Supuestos!$D$6,P51&gt;0.005),Supuestos!$D$6-E51,0),"")</f>
        <v/>
      </c>
      <c r="R51" s="36" t="str">
        <f>IF(AND(Creditos!$C$6&lt;&gt;"",Creditos!$M$6="OK",46&lt;=Creditos!$H$6),MAX(0,N51-L51),"")</f>
        <v/>
      </c>
      <c r="S51" s="33" t="str">
        <f>IF(AND(Creditos!$C$6&lt;&gt;"",Creditos!$M$6="OK",46&lt;=Creditos!$H$6),IF(R51&gt;0.005,"Exceso sin imputar",IF(P51&lt;=0.005,"Pagada",IF(E51&lt;Supuestos!$D$6,"Vencida",IF(E51=Supuestos!$D$6,"Vence hoy","Por vencer")))),"")</f>
        <v/>
      </c>
      <c r="T51" s="33">
        <f>IF(AND(Creditos!$C$6&lt;&gt;"",Creditos!$M$6="OK",46&lt;=Creditos!$H$6),IF(P51&gt;0.005,E51,999999),999999)</f>
        <v>999999</v>
      </c>
      <c r="U51" s="1"/>
      <c r="V51" s="1"/>
    </row>
    <row r="52" ht="25.5" customHeight="1">
      <c r="A52" s="1"/>
      <c r="B52" s="1"/>
      <c r="C52" s="33" t="str">
        <f>IF(AND(Creditos!$C$6&lt;&gt;"",Creditos!$M$6="OK",47&lt;=Creditos!$H$6),Creditos!$C$6,"")</f>
        <v/>
      </c>
      <c r="D52" s="33" t="str">
        <f>IF(AND(Creditos!$C$6&lt;&gt;"",Creditos!$M$6="OK",47&lt;=Creditos!$H$6),47,"")</f>
        <v/>
      </c>
      <c r="E52" s="35" t="str">
        <f>IF(AND(Creditos!$C$6&lt;&gt;"",Creditos!$M$6="OK",47&lt;=Creditos!$H$6),EDATE(Creditos!$I$6,46),"")</f>
        <v/>
      </c>
      <c r="F52" s="36" t="str">
        <f>IF(AND(Creditos!$C$6&lt;&gt;"",Creditos!$M$6="OK",47&lt;=Creditos!$H$6),M51,"")</f>
        <v/>
      </c>
      <c r="G52" s="37" t="str">
        <f>IF(AND(Creditos!$C$6&lt;&gt;"",Creditos!$M$6="OK",47&lt;=Creditos!$H$6),Creditos!$N$6,"")</f>
        <v/>
      </c>
      <c r="H52" s="36" t="str">
        <f>IF(AND(Creditos!$C$6&lt;&gt;"",Creditos!$M$6="OK",47&lt;=Creditos!$H$6),ROUND(F52*G52,2),"")</f>
        <v/>
      </c>
      <c r="I52" s="36" t="str">
        <f>IF(AND(Creditos!$C$6&lt;&gt;"",Creditos!$M$6="OK",47&lt;=Creditos!$H$6),IF(47=Creditos!$H$6,F52+H52,MIN(Creditos!$O$6,F52+H52)),"")</f>
        <v/>
      </c>
      <c r="J52" s="36" t="str">
        <f>IF(AND(Creditos!$C$6&lt;&gt;"",Creditos!$M$6="OK",47&lt;=Creditos!$H$6),MIN(F52,MAX(0,I52-H52)),"")</f>
        <v/>
      </c>
      <c r="K52" s="36" t="str">
        <f>IF(AND(Creditos!$C$6&lt;&gt;"",Creditos!$M$6="OK",47&lt;=Creditos!$H$6),Creditos!$J$6+Creditos!$K$6,"")</f>
        <v/>
      </c>
      <c r="L52" s="36" t="str">
        <f>IF(AND(Creditos!$C$6&lt;&gt;"",Creditos!$M$6="OK",47&lt;=Creditos!$H$6),I52+K52,"")</f>
        <v/>
      </c>
      <c r="M52" s="36" t="str">
        <f>IF(AND(Creditos!$C$6&lt;&gt;"",Creditos!$M$6="OK",47&lt;=Creditos!$H$6),MAX(0,F52-J52),"")</f>
        <v/>
      </c>
      <c r="N52" s="36" t="str">
        <f>IF(AND(Creditos!$C$6&lt;&gt;"",Creditos!$M$6="OK",47&lt;=Creditos!$H$6),SUMIFS(Pagos!$F$6:$F$305,Pagos!$C$6:$C$305,C52,Pagos!$D$6:$D$305,D52,Pagos!$E$6:$E$305,"&lt;="&amp;Supuestos!$D$6,Pagos!$H$6:$H$305,"OK"),"")</f>
        <v/>
      </c>
      <c r="O52" s="36" t="str">
        <f>IF(AND(Creditos!$C$6&lt;&gt;"",Creditos!$M$6="OK",47&lt;=Creditos!$H$6),MIN(J52,MAX(0,N52-K52-H52)),"")</f>
        <v/>
      </c>
      <c r="P52" s="36" t="str">
        <f>IF(AND(Creditos!$C$6&lt;&gt;"",Creditos!$M$6="OK",47&lt;=Creditos!$H$6),MAX(0,L52-N52),"")</f>
        <v/>
      </c>
      <c r="Q52" s="39" t="str">
        <f>IF(AND(Creditos!$C$6&lt;&gt;"",Creditos!$M$6="OK",47&lt;=Creditos!$H$6),IF(AND(E52&lt;Supuestos!$D$6,P52&gt;0.005),Supuestos!$D$6-E52,0),"")</f>
        <v/>
      </c>
      <c r="R52" s="36" t="str">
        <f>IF(AND(Creditos!$C$6&lt;&gt;"",Creditos!$M$6="OK",47&lt;=Creditos!$H$6),MAX(0,N52-L52),"")</f>
        <v/>
      </c>
      <c r="S52" s="33" t="str">
        <f>IF(AND(Creditos!$C$6&lt;&gt;"",Creditos!$M$6="OK",47&lt;=Creditos!$H$6),IF(R52&gt;0.005,"Exceso sin imputar",IF(P52&lt;=0.005,"Pagada",IF(E52&lt;Supuestos!$D$6,"Vencida",IF(E52=Supuestos!$D$6,"Vence hoy","Por vencer")))),"")</f>
        <v/>
      </c>
      <c r="T52" s="33">
        <f>IF(AND(Creditos!$C$6&lt;&gt;"",Creditos!$M$6="OK",47&lt;=Creditos!$H$6),IF(P52&gt;0.005,E52,999999),999999)</f>
        <v>999999</v>
      </c>
      <c r="U52" s="1"/>
      <c r="V52" s="1"/>
    </row>
    <row r="53" ht="25.5" customHeight="1">
      <c r="A53" s="1"/>
      <c r="B53" s="1"/>
      <c r="C53" s="33" t="str">
        <f>IF(AND(Creditos!$C$6&lt;&gt;"",Creditos!$M$6="OK",48&lt;=Creditos!$H$6),Creditos!$C$6,"")</f>
        <v/>
      </c>
      <c r="D53" s="33" t="str">
        <f>IF(AND(Creditos!$C$6&lt;&gt;"",Creditos!$M$6="OK",48&lt;=Creditos!$H$6),48,"")</f>
        <v/>
      </c>
      <c r="E53" s="35" t="str">
        <f>IF(AND(Creditos!$C$6&lt;&gt;"",Creditos!$M$6="OK",48&lt;=Creditos!$H$6),EDATE(Creditos!$I$6,47),"")</f>
        <v/>
      </c>
      <c r="F53" s="36" t="str">
        <f>IF(AND(Creditos!$C$6&lt;&gt;"",Creditos!$M$6="OK",48&lt;=Creditos!$H$6),M52,"")</f>
        <v/>
      </c>
      <c r="G53" s="37" t="str">
        <f>IF(AND(Creditos!$C$6&lt;&gt;"",Creditos!$M$6="OK",48&lt;=Creditos!$H$6),Creditos!$N$6,"")</f>
        <v/>
      </c>
      <c r="H53" s="36" t="str">
        <f>IF(AND(Creditos!$C$6&lt;&gt;"",Creditos!$M$6="OK",48&lt;=Creditos!$H$6),ROUND(F53*G53,2),"")</f>
        <v/>
      </c>
      <c r="I53" s="36" t="str">
        <f>IF(AND(Creditos!$C$6&lt;&gt;"",Creditos!$M$6="OK",48&lt;=Creditos!$H$6),IF(48=Creditos!$H$6,F53+H53,MIN(Creditos!$O$6,F53+H53)),"")</f>
        <v/>
      </c>
      <c r="J53" s="36" t="str">
        <f>IF(AND(Creditos!$C$6&lt;&gt;"",Creditos!$M$6="OK",48&lt;=Creditos!$H$6),MIN(F53,MAX(0,I53-H53)),"")</f>
        <v/>
      </c>
      <c r="K53" s="36" t="str">
        <f>IF(AND(Creditos!$C$6&lt;&gt;"",Creditos!$M$6="OK",48&lt;=Creditos!$H$6),Creditos!$J$6+Creditos!$K$6,"")</f>
        <v/>
      </c>
      <c r="L53" s="36" t="str">
        <f>IF(AND(Creditos!$C$6&lt;&gt;"",Creditos!$M$6="OK",48&lt;=Creditos!$H$6),I53+K53,"")</f>
        <v/>
      </c>
      <c r="M53" s="36" t="str">
        <f>IF(AND(Creditos!$C$6&lt;&gt;"",Creditos!$M$6="OK",48&lt;=Creditos!$H$6),MAX(0,F53-J53),"")</f>
        <v/>
      </c>
      <c r="N53" s="36" t="str">
        <f>IF(AND(Creditos!$C$6&lt;&gt;"",Creditos!$M$6="OK",48&lt;=Creditos!$H$6),SUMIFS(Pagos!$F$6:$F$305,Pagos!$C$6:$C$305,C53,Pagos!$D$6:$D$305,D53,Pagos!$E$6:$E$305,"&lt;="&amp;Supuestos!$D$6,Pagos!$H$6:$H$305,"OK"),"")</f>
        <v/>
      </c>
      <c r="O53" s="36" t="str">
        <f>IF(AND(Creditos!$C$6&lt;&gt;"",Creditos!$M$6="OK",48&lt;=Creditos!$H$6),MIN(J53,MAX(0,N53-K53-H53)),"")</f>
        <v/>
      </c>
      <c r="P53" s="36" t="str">
        <f>IF(AND(Creditos!$C$6&lt;&gt;"",Creditos!$M$6="OK",48&lt;=Creditos!$H$6),MAX(0,L53-N53),"")</f>
        <v/>
      </c>
      <c r="Q53" s="39" t="str">
        <f>IF(AND(Creditos!$C$6&lt;&gt;"",Creditos!$M$6="OK",48&lt;=Creditos!$H$6),IF(AND(E53&lt;Supuestos!$D$6,P53&gt;0.005),Supuestos!$D$6-E53,0),"")</f>
        <v/>
      </c>
      <c r="R53" s="36" t="str">
        <f>IF(AND(Creditos!$C$6&lt;&gt;"",Creditos!$M$6="OK",48&lt;=Creditos!$H$6),MAX(0,N53-L53),"")</f>
        <v/>
      </c>
      <c r="S53" s="33" t="str">
        <f>IF(AND(Creditos!$C$6&lt;&gt;"",Creditos!$M$6="OK",48&lt;=Creditos!$H$6),IF(R53&gt;0.005,"Exceso sin imputar",IF(P53&lt;=0.005,"Pagada",IF(E53&lt;Supuestos!$D$6,"Vencida",IF(E53=Supuestos!$D$6,"Vence hoy","Por vencer")))),"")</f>
        <v/>
      </c>
      <c r="T53" s="33">
        <f>IF(AND(Creditos!$C$6&lt;&gt;"",Creditos!$M$6="OK",48&lt;=Creditos!$H$6),IF(P53&gt;0.005,E53,999999),999999)</f>
        <v>999999</v>
      </c>
      <c r="U53" s="1"/>
      <c r="V53" s="1"/>
    </row>
    <row r="54" ht="25.5" customHeight="1">
      <c r="A54" s="1"/>
      <c r="B54" s="1"/>
      <c r="C54" s="33" t="str">
        <f>IF(AND(Creditos!$C$6&lt;&gt;"",Creditos!$M$6="OK",49&lt;=Creditos!$H$6),Creditos!$C$6,"")</f>
        <v/>
      </c>
      <c r="D54" s="33" t="str">
        <f>IF(AND(Creditos!$C$6&lt;&gt;"",Creditos!$M$6="OK",49&lt;=Creditos!$H$6),49,"")</f>
        <v/>
      </c>
      <c r="E54" s="35" t="str">
        <f>IF(AND(Creditos!$C$6&lt;&gt;"",Creditos!$M$6="OK",49&lt;=Creditos!$H$6),EDATE(Creditos!$I$6,48),"")</f>
        <v/>
      </c>
      <c r="F54" s="36" t="str">
        <f>IF(AND(Creditos!$C$6&lt;&gt;"",Creditos!$M$6="OK",49&lt;=Creditos!$H$6),M53,"")</f>
        <v/>
      </c>
      <c r="G54" s="37" t="str">
        <f>IF(AND(Creditos!$C$6&lt;&gt;"",Creditos!$M$6="OK",49&lt;=Creditos!$H$6),Creditos!$N$6,"")</f>
        <v/>
      </c>
      <c r="H54" s="36" t="str">
        <f>IF(AND(Creditos!$C$6&lt;&gt;"",Creditos!$M$6="OK",49&lt;=Creditos!$H$6),ROUND(F54*G54,2),"")</f>
        <v/>
      </c>
      <c r="I54" s="36" t="str">
        <f>IF(AND(Creditos!$C$6&lt;&gt;"",Creditos!$M$6="OK",49&lt;=Creditos!$H$6),IF(49=Creditos!$H$6,F54+H54,MIN(Creditos!$O$6,F54+H54)),"")</f>
        <v/>
      </c>
      <c r="J54" s="36" t="str">
        <f>IF(AND(Creditos!$C$6&lt;&gt;"",Creditos!$M$6="OK",49&lt;=Creditos!$H$6),MIN(F54,MAX(0,I54-H54)),"")</f>
        <v/>
      </c>
      <c r="K54" s="36" t="str">
        <f>IF(AND(Creditos!$C$6&lt;&gt;"",Creditos!$M$6="OK",49&lt;=Creditos!$H$6),Creditos!$J$6+Creditos!$K$6,"")</f>
        <v/>
      </c>
      <c r="L54" s="36" t="str">
        <f>IF(AND(Creditos!$C$6&lt;&gt;"",Creditos!$M$6="OK",49&lt;=Creditos!$H$6),I54+K54,"")</f>
        <v/>
      </c>
      <c r="M54" s="36" t="str">
        <f>IF(AND(Creditos!$C$6&lt;&gt;"",Creditos!$M$6="OK",49&lt;=Creditos!$H$6),MAX(0,F54-J54),"")</f>
        <v/>
      </c>
      <c r="N54" s="36" t="str">
        <f>IF(AND(Creditos!$C$6&lt;&gt;"",Creditos!$M$6="OK",49&lt;=Creditos!$H$6),SUMIFS(Pagos!$F$6:$F$305,Pagos!$C$6:$C$305,C54,Pagos!$D$6:$D$305,D54,Pagos!$E$6:$E$305,"&lt;="&amp;Supuestos!$D$6,Pagos!$H$6:$H$305,"OK"),"")</f>
        <v/>
      </c>
      <c r="O54" s="36" t="str">
        <f>IF(AND(Creditos!$C$6&lt;&gt;"",Creditos!$M$6="OK",49&lt;=Creditos!$H$6),MIN(J54,MAX(0,N54-K54-H54)),"")</f>
        <v/>
      </c>
      <c r="P54" s="36" t="str">
        <f>IF(AND(Creditos!$C$6&lt;&gt;"",Creditos!$M$6="OK",49&lt;=Creditos!$H$6),MAX(0,L54-N54),"")</f>
        <v/>
      </c>
      <c r="Q54" s="39" t="str">
        <f>IF(AND(Creditos!$C$6&lt;&gt;"",Creditos!$M$6="OK",49&lt;=Creditos!$H$6),IF(AND(E54&lt;Supuestos!$D$6,P54&gt;0.005),Supuestos!$D$6-E54,0),"")</f>
        <v/>
      </c>
      <c r="R54" s="36" t="str">
        <f>IF(AND(Creditos!$C$6&lt;&gt;"",Creditos!$M$6="OK",49&lt;=Creditos!$H$6),MAX(0,N54-L54),"")</f>
        <v/>
      </c>
      <c r="S54" s="33" t="str">
        <f>IF(AND(Creditos!$C$6&lt;&gt;"",Creditos!$M$6="OK",49&lt;=Creditos!$H$6),IF(R54&gt;0.005,"Exceso sin imputar",IF(P54&lt;=0.005,"Pagada",IF(E54&lt;Supuestos!$D$6,"Vencida",IF(E54=Supuestos!$D$6,"Vence hoy","Por vencer")))),"")</f>
        <v/>
      </c>
      <c r="T54" s="33">
        <f>IF(AND(Creditos!$C$6&lt;&gt;"",Creditos!$M$6="OK",49&lt;=Creditos!$H$6),IF(P54&gt;0.005,E54,999999),999999)</f>
        <v>999999</v>
      </c>
      <c r="U54" s="1"/>
      <c r="V54" s="1"/>
    </row>
    <row r="55" ht="25.5" customHeight="1">
      <c r="A55" s="1"/>
      <c r="B55" s="1"/>
      <c r="C55" s="33" t="str">
        <f>IF(AND(Creditos!$C$6&lt;&gt;"",Creditos!$M$6="OK",50&lt;=Creditos!$H$6),Creditos!$C$6,"")</f>
        <v/>
      </c>
      <c r="D55" s="33" t="str">
        <f>IF(AND(Creditos!$C$6&lt;&gt;"",Creditos!$M$6="OK",50&lt;=Creditos!$H$6),50,"")</f>
        <v/>
      </c>
      <c r="E55" s="35" t="str">
        <f>IF(AND(Creditos!$C$6&lt;&gt;"",Creditos!$M$6="OK",50&lt;=Creditos!$H$6),EDATE(Creditos!$I$6,49),"")</f>
        <v/>
      </c>
      <c r="F55" s="36" t="str">
        <f>IF(AND(Creditos!$C$6&lt;&gt;"",Creditos!$M$6="OK",50&lt;=Creditos!$H$6),M54,"")</f>
        <v/>
      </c>
      <c r="G55" s="37" t="str">
        <f>IF(AND(Creditos!$C$6&lt;&gt;"",Creditos!$M$6="OK",50&lt;=Creditos!$H$6),Creditos!$N$6,"")</f>
        <v/>
      </c>
      <c r="H55" s="36" t="str">
        <f>IF(AND(Creditos!$C$6&lt;&gt;"",Creditos!$M$6="OK",50&lt;=Creditos!$H$6),ROUND(F55*G55,2),"")</f>
        <v/>
      </c>
      <c r="I55" s="36" t="str">
        <f>IF(AND(Creditos!$C$6&lt;&gt;"",Creditos!$M$6="OK",50&lt;=Creditos!$H$6),IF(50=Creditos!$H$6,F55+H55,MIN(Creditos!$O$6,F55+H55)),"")</f>
        <v/>
      </c>
      <c r="J55" s="36" t="str">
        <f>IF(AND(Creditos!$C$6&lt;&gt;"",Creditos!$M$6="OK",50&lt;=Creditos!$H$6),MIN(F55,MAX(0,I55-H55)),"")</f>
        <v/>
      </c>
      <c r="K55" s="36" t="str">
        <f>IF(AND(Creditos!$C$6&lt;&gt;"",Creditos!$M$6="OK",50&lt;=Creditos!$H$6),Creditos!$J$6+Creditos!$K$6,"")</f>
        <v/>
      </c>
      <c r="L55" s="36" t="str">
        <f>IF(AND(Creditos!$C$6&lt;&gt;"",Creditos!$M$6="OK",50&lt;=Creditos!$H$6),I55+K55,"")</f>
        <v/>
      </c>
      <c r="M55" s="36" t="str">
        <f>IF(AND(Creditos!$C$6&lt;&gt;"",Creditos!$M$6="OK",50&lt;=Creditos!$H$6),MAX(0,F55-J55),"")</f>
        <v/>
      </c>
      <c r="N55" s="36" t="str">
        <f>IF(AND(Creditos!$C$6&lt;&gt;"",Creditos!$M$6="OK",50&lt;=Creditos!$H$6),SUMIFS(Pagos!$F$6:$F$305,Pagos!$C$6:$C$305,C55,Pagos!$D$6:$D$305,D55,Pagos!$E$6:$E$305,"&lt;="&amp;Supuestos!$D$6,Pagos!$H$6:$H$305,"OK"),"")</f>
        <v/>
      </c>
      <c r="O55" s="36" t="str">
        <f>IF(AND(Creditos!$C$6&lt;&gt;"",Creditos!$M$6="OK",50&lt;=Creditos!$H$6),MIN(J55,MAX(0,N55-K55-H55)),"")</f>
        <v/>
      </c>
      <c r="P55" s="36" t="str">
        <f>IF(AND(Creditos!$C$6&lt;&gt;"",Creditos!$M$6="OK",50&lt;=Creditos!$H$6),MAX(0,L55-N55),"")</f>
        <v/>
      </c>
      <c r="Q55" s="39" t="str">
        <f>IF(AND(Creditos!$C$6&lt;&gt;"",Creditos!$M$6="OK",50&lt;=Creditos!$H$6),IF(AND(E55&lt;Supuestos!$D$6,P55&gt;0.005),Supuestos!$D$6-E55,0),"")</f>
        <v/>
      </c>
      <c r="R55" s="36" t="str">
        <f>IF(AND(Creditos!$C$6&lt;&gt;"",Creditos!$M$6="OK",50&lt;=Creditos!$H$6),MAX(0,N55-L55),"")</f>
        <v/>
      </c>
      <c r="S55" s="33" t="str">
        <f>IF(AND(Creditos!$C$6&lt;&gt;"",Creditos!$M$6="OK",50&lt;=Creditos!$H$6),IF(R55&gt;0.005,"Exceso sin imputar",IF(P55&lt;=0.005,"Pagada",IF(E55&lt;Supuestos!$D$6,"Vencida",IF(E55=Supuestos!$D$6,"Vence hoy","Por vencer")))),"")</f>
        <v/>
      </c>
      <c r="T55" s="33">
        <f>IF(AND(Creditos!$C$6&lt;&gt;"",Creditos!$M$6="OK",50&lt;=Creditos!$H$6),IF(P55&gt;0.005,E55,999999),999999)</f>
        <v>999999</v>
      </c>
      <c r="U55" s="1"/>
      <c r="V55" s="1"/>
    </row>
    <row r="56" ht="25.5" customHeight="1">
      <c r="A56" s="1"/>
      <c r="B56" s="1"/>
      <c r="C56" s="33" t="str">
        <f>IF(AND(Creditos!$C$6&lt;&gt;"",Creditos!$M$6="OK",51&lt;=Creditos!$H$6),Creditos!$C$6,"")</f>
        <v/>
      </c>
      <c r="D56" s="33" t="str">
        <f>IF(AND(Creditos!$C$6&lt;&gt;"",Creditos!$M$6="OK",51&lt;=Creditos!$H$6),51,"")</f>
        <v/>
      </c>
      <c r="E56" s="35" t="str">
        <f>IF(AND(Creditos!$C$6&lt;&gt;"",Creditos!$M$6="OK",51&lt;=Creditos!$H$6),EDATE(Creditos!$I$6,50),"")</f>
        <v/>
      </c>
      <c r="F56" s="36" t="str">
        <f>IF(AND(Creditos!$C$6&lt;&gt;"",Creditos!$M$6="OK",51&lt;=Creditos!$H$6),M55,"")</f>
        <v/>
      </c>
      <c r="G56" s="37" t="str">
        <f>IF(AND(Creditos!$C$6&lt;&gt;"",Creditos!$M$6="OK",51&lt;=Creditos!$H$6),Creditos!$N$6,"")</f>
        <v/>
      </c>
      <c r="H56" s="36" t="str">
        <f>IF(AND(Creditos!$C$6&lt;&gt;"",Creditos!$M$6="OK",51&lt;=Creditos!$H$6),ROUND(F56*G56,2),"")</f>
        <v/>
      </c>
      <c r="I56" s="36" t="str">
        <f>IF(AND(Creditos!$C$6&lt;&gt;"",Creditos!$M$6="OK",51&lt;=Creditos!$H$6),IF(51=Creditos!$H$6,F56+H56,MIN(Creditos!$O$6,F56+H56)),"")</f>
        <v/>
      </c>
      <c r="J56" s="36" t="str">
        <f>IF(AND(Creditos!$C$6&lt;&gt;"",Creditos!$M$6="OK",51&lt;=Creditos!$H$6),MIN(F56,MAX(0,I56-H56)),"")</f>
        <v/>
      </c>
      <c r="K56" s="36" t="str">
        <f>IF(AND(Creditos!$C$6&lt;&gt;"",Creditos!$M$6="OK",51&lt;=Creditos!$H$6),Creditos!$J$6+Creditos!$K$6,"")</f>
        <v/>
      </c>
      <c r="L56" s="36" t="str">
        <f>IF(AND(Creditos!$C$6&lt;&gt;"",Creditos!$M$6="OK",51&lt;=Creditos!$H$6),I56+K56,"")</f>
        <v/>
      </c>
      <c r="M56" s="36" t="str">
        <f>IF(AND(Creditos!$C$6&lt;&gt;"",Creditos!$M$6="OK",51&lt;=Creditos!$H$6),MAX(0,F56-J56),"")</f>
        <v/>
      </c>
      <c r="N56" s="36" t="str">
        <f>IF(AND(Creditos!$C$6&lt;&gt;"",Creditos!$M$6="OK",51&lt;=Creditos!$H$6),SUMIFS(Pagos!$F$6:$F$305,Pagos!$C$6:$C$305,C56,Pagos!$D$6:$D$305,D56,Pagos!$E$6:$E$305,"&lt;="&amp;Supuestos!$D$6,Pagos!$H$6:$H$305,"OK"),"")</f>
        <v/>
      </c>
      <c r="O56" s="36" t="str">
        <f>IF(AND(Creditos!$C$6&lt;&gt;"",Creditos!$M$6="OK",51&lt;=Creditos!$H$6),MIN(J56,MAX(0,N56-K56-H56)),"")</f>
        <v/>
      </c>
      <c r="P56" s="36" t="str">
        <f>IF(AND(Creditos!$C$6&lt;&gt;"",Creditos!$M$6="OK",51&lt;=Creditos!$H$6),MAX(0,L56-N56),"")</f>
        <v/>
      </c>
      <c r="Q56" s="39" t="str">
        <f>IF(AND(Creditos!$C$6&lt;&gt;"",Creditos!$M$6="OK",51&lt;=Creditos!$H$6),IF(AND(E56&lt;Supuestos!$D$6,P56&gt;0.005),Supuestos!$D$6-E56,0),"")</f>
        <v/>
      </c>
      <c r="R56" s="36" t="str">
        <f>IF(AND(Creditos!$C$6&lt;&gt;"",Creditos!$M$6="OK",51&lt;=Creditos!$H$6),MAX(0,N56-L56),"")</f>
        <v/>
      </c>
      <c r="S56" s="33" t="str">
        <f>IF(AND(Creditos!$C$6&lt;&gt;"",Creditos!$M$6="OK",51&lt;=Creditos!$H$6),IF(R56&gt;0.005,"Exceso sin imputar",IF(P56&lt;=0.005,"Pagada",IF(E56&lt;Supuestos!$D$6,"Vencida",IF(E56=Supuestos!$D$6,"Vence hoy","Por vencer")))),"")</f>
        <v/>
      </c>
      <c r="T56" s="33">
        <f>IF(AND(Creditos!$C$6&lt;&gt;"",Creditos!$M$6="OK",51&lt;=Creditos!$H$6),IF(P56&gt;0.005,E56,999999),999999)</f>
        <v>999999</v>
      </c>
      <c r="U56" s="1"/>
      <c r="V56" s="1"/>
    </row>
    <row r="57" ht="25.5" customHeight="1">
      <c r="A57" s="1"/>
      <c r="B57" s="1"/>
      <c r="C57" s="33" t="str">
        <f>IF(AND(Creditos!$C$6&lt;&gt;"",Creditos!$M$6="OK",52&lt;=Creditos!$H$6),Creditos!$C$6,"")</f>
        <v/>
      </c>
      <c r="D57" s="33" t="str">
        <f>IF(AND(Creditos!$C$6&lt;&gt;"",Creditos!$M$6="OK",52&lt;=Creditos!$H$6),52,"")</f>
        <v/>
      </c>
      <c r="E57" s="35" t="str">
        <f>IF(AND(Creditos!$C$6&lt;&gt;"",Creditos!$M$6="OK",52&lt;=Creditos!$H$6),EDATE(Creditos!$I$6,51),"")</f>
        <v/>
      </c>
      <c r="F57" s="36" t="str">
        <f>IF(AND(Creditos!$C$6&lt;&gt;"",Creditos!$M$6="OK",52&lt;=Creditos!$H$6),M56,"")</f>
        <v/>
      </c>
      <c r="G57" s="37" t="str">
        <f>IF(AND(Creditos!$C$6&lt;&gt;"",Creditos!$M$6="OK",52&lt;=Creditos!$H$6),Creditos!$N$6,"")</f>
        <v/>
      </c>
      <c r="H57" s="36" t="str">
        <f>IF(AND(Creditos!$C$6&lt;&gt;"",Creditos!$M$6="OK",52&lt;=Creditos!$H$6),ROUND(F57*G57,2),"")</f>
        <v/>
      </c>
      <c r="I57" s="36" t="str">
        <f>IF(AND(Creditos!$C$6&lt;&gt;"",Creditos!$M$6="OK",52&lt;=Creditos!$H$6),IF(52=Creditos!$H$6,F57+H57,MIN(Creditos!$O$6,F57+H57)),"")</f>
        <v/>
      </c>
      <c r="J57" s="36" t="str">
        <f>IF(AND(Creditos!$C$6&lt;&gt;"",Creditos!$M$6="OK",52&lt;=Creditos!$H$6),MIN(F57,MAX(0,I57-H57)),"")</f>
        <v/>
      </c>
      <c r="K57" s="36" t="str">
        <f>IF(AND(Creditos!$C$6&lt;&gt;"",Creditos!$M$6="OK",52&lt;=Creditos!$H$6),Creditos!$J$6+Creditos!$K$6,"")</f>
        <v/>
      </c>
      <c r="L57" s="36" t="str">
        <f>IF(AND(Creditos!$C$6&lt;&gt;"",Creditos!$M$6="OK",52&lt;=Creditos!$H$6),I57+K57,"")</f>
        <v/>
      </c>
      <c r="M57" s="36" t="str">
        <f>IF(AND(Creditos!$C$6&lt;&gt;"",Creditos!$M$6="OK",52&lt;=Creditos!$H$6),MAX(0,F57-J57),"")</f>
        <v/>
      </c>
      <c r="N57" s="36" t="str">
        <f>IF(AND(Creditos!$C$6&lt;&gt;"",Creditos!$M$6="OK",52&lt;=Creditos!$H$6),SUMIFS(Pagos!$F$6:$F$305,Pagos!$C$6:$C$305,C57,Pagos!$D$6:$D$305,D57,Pagos!$E$6:$E$305,"&lt;="&amp;Supuestos!$D$6,Pagos!$H$6:$H$305,"OK"),"")</f>
        <v/>
      </c>
      <c r="O57" s="36" t="str">
        <f>IF(AND(Creditos!$C$6&lt;&gt;"",Creditos!$M$6="OK",52&lt;=Creditos!$H$6),MIN(J57,MAX(0,N57-K57-H57)),"")</f>
        <v/>
      </c>
      <c r="P57" s="36" t="str">
        <f>IF(AND(Creditos!$C$6&lt;&gt;"",Creditos!$M$6="OK",52&lt;=Creditos!$H$6),MAX(0,L57-N57),"")</f>
        <v/>
      </c>
      <c r="Q57" s="39" t="str">
        <f>IF(AND(Creditos!$C$6&lt;&gt;"",Creditos!$M$6="OK",52&lt;=Creditos!$H$6),IF(AND(E57&lt;Supuestos!$D$6,P57&gt;0.005),Supuestos!$D$6-E57,0),"")</f>
        <v/>
      </c>
      <c r="R57" s="36" t="str">
        <f>IF(AND(Creditos!$C$6&lt;&gt;"",Creditos!$M$6="OK",52&lt;=Creditos!$H$6),MAX(0,N57-L57),"")</f>
        <v/>
      </c>
      <c r="S57" s="33" t="str">
        <f>IF(AND(Creditos!$C$6&lt;&gt;"",Creditos!$M$6="OK",52&lt;=Creditos!$H$6),IF(R57&gt;0.005,"Exceso sin imputar",IF(P57&lt;=0.005,"Pagada",IF(E57&lt;Supuestos!$D$6,"Vencida",IF(E57=Supuestos!$D$6,"Vence hoy","Por vencer")))),"")</f>
        <v/>
      </c>
      <c r="T57" s="33">
        <f>IF(AND(Creditos!$C$6&lt;&gt;"",Creditos!$M$6="OK",52&lt;=Creditos!$H$6),IF(P57&gt;0.005,E57,999999),999999)</f>
        <v>999999</v>
      </c>
      <c r="U57" s="1"/>
      <c r="V57" s="1"/>
    </row>
    <row r="58" ht="25.5" customHeight="1">
      <c r="A58" s="1"/>
      <c r="B58" s="1"/>
      <c r="C58" s="33" t="str">
        <f>IF(AND(Creditos!$C$6&lt;&gt;"",Creditos!$M$6="OK",53&lt;=Creditos!$H$6),Creditos!$C$6,"")</f>
        <v/>
      </c>
      <c r="D58" s="33" t="str">
        <f>IF(AND(Creditos!$C$6&lt;&gt;"",Creditos!$M$6="OK",53&lt;=Creditos!$H$6),53,"")</f>
        <v/>
      </c>
      <c r="E58" s="35" t="str">
        <f>IF(AND(Creditos!$C$6&lt;&gt;"",Creditos!$M$6="OK",53&lt;=Creditos!$H$6),EDATE(Creditos!$I$6,52),"")</f>
        <v/>
      </c>
      <c r="F58" s="36" t="str">
        <f>IF(AND(Creditos!$C$6&lt;&gt;"",Creditos!$M$6="OK",53&lt;=Creditos!$H$6),M57,"")</f>
        <v/>
      </c>
      <c r="G58" s="37" t="str">
        <f>IF(AND(Creditos!$C$6&lt;&gt;"",Creditos!$M$6="OK",53&lt;=Creditos!$H$6),Creditos!$N$6,"")</f>
        <v/>
      </c>
      <c r="H58" s="36" t="str">
        <f>IF(AND(Creditos!$C$6&lt;&gt;"",Creditos!$M$6="OK",53&lt;=Creditos!$H$6),ROUND(F58*G58,2),"")</f>
        <v/>
      </c>
      <c r="I58" s="36" t="str">
        <f>IF(AND(Creditos!$C$6&lt;&gt;"",Creditos!$M$6="OK",53&lt;=Creditos!$H$6),IF(53=Creditos!$H$6,F58+H58,MIN(Creditos!$O$6,F58+H58)),"")</f>
        <v/>
      </c>
      <c r="J58" s="36" t="str">
        <f>IF(AND(Creditos!$C$6&lt;&gt;"",Creditos!$M$6="OK",53&lt;=Creditos!$H$6),MIN(F58,MAX(0,I58-H58)),"")</f>
        <v/>
      </c>
      <c r="K58" s="36" t="str">
        <f>IF(AND(Creditos!$C$6&lt;&gt;"",Creditos!$M$6="OK",53&lt;=Creditos!$H$6),Creditos!$J$6+Creditos!$K$6,"")</f>
        <v/>
      </c>
      <c r="L58" s="36" t="str">
        <f>IF(AND(Creditos!$C$6&lt;&gt;"",Creditos!$M$6="OK",53&lt;=Creditos!$H$6),I58+K58,"")</f>
        <v/>
      </c>
      <c r="M58" s="36" t="str">
        <f>IF(AND(Creditos!$C$6&lt;&gt;"",Creditos!$M$6="OK",53&lt;=Creditos!$H$6),MAX(0,F58-J58),"")</f>
        <v/>
      </c>
      <c r="N58" s="36" t="str">
        <f>IF(AND(Creditos!$C$6&lt;&gt;"",Creditos!$M$6="OK",53&lt;=Creditos!$H$6),SUMIFS(Pagos!$F$6:$F$305,Pagos!$C$6:$C$305,C58,Pagos!$D$6:$D$305,D58,Pagos!$E$6:$E$305,"&lt;="&amp;Supuestos!$D$6,Pagos!$H$6:$H$305,"OK"),"")</f>
        <v/>
      </c>
      <c r="O58" s="36" t="str">
        <f>IF(AND(Creditos!$C$6&lt;&gt;"",Creditos!$M$6="OK",53&lt;=Creditos!$H$6),MIN(J58,MAX(0,N58-K58-H58)),"")</f>
        <v/>
      </c>
      <c r="P58" s="36" t="str">
        <f>IF(AND(Creditos!$C$6&lt;&gt;"",Creditos!$M$6="OK",53&lt;=Creditos!$H$6),MAX(0,L58-N58),"")</f>
        <v/>
      </c>
      <c r="Q58" s="39" t="str">
        <f>IF(AND(Creditos!$C$6&lt;&gt;"",Creditos!$M$6="OK",53&lt;=Creditos!$H$6),IF(AND(E58&lt;Supuestos!$D$6,P58&gt;0.005),Supuestos!$D$6-E58,0),"")</f>
        <v/>
      </c>
      <c r="R58" s="36" t="str">
        <f>IF(AND(Creditos!$C$6&lt;&gt;"",Creditos!$M$6="OK",53&lt;=Creditos!$H$6),MAX(0,N58-L58),"")</f>
        <v/>
      </c>
      <c r="S58" s="33" t="str">
        <f>IF(AND(Creditos!$C$6&lt;&gt;"",Creditos!$M$6="OK",53&lt;=Creditos!$H$6),IF(R58&gt;0.005,"Exceso sin imputar",IF(P58&lt;=0.005,"Pagada",IF(E58&lt;Supuestos!$D$6,"Vencida",IF(E58=Supuestos!$D$6,"Vence hoy","Por vencer")))),"")</f>
        <v/>
      </c>
      <c r="T58" s="33">
        <f>IF(AND(Creditos!$C$6&lt;&gt;"",Creditos!$M$6="OK",53&lt;=Creditos!$H$6),IF(P58&gt;0.005,E58,999999),999999)</f>
        <v>999999</v>
      </c>
      <c r="U58" s="1"/>
      <c r="V58" s="1"/>
    </row>
    <row r="59" ht="25.5" customHeight="1">
      <c r="A59" s="1"/>
      <c r="B59" s="1"/>
      <c r="C59" s="33" t="str">
        <f>IF(AND(Creditos!$C$6&lt;&gt;"",Creditos!$M$6="OK",54&lt;=Creditos!$H$6),Creditos!$C$6,"")</f>
        <v/>
      </c>
      <c r="D59" s="33" t="str">
        <f>IF(AND(Creditos!$C$6&lt;&gt;"",Creditos!$M$6="OK",54&lt;=Creditos!$H$6),54,"")</f>
        <v/>
      </c>
      <c r="E59" s="35" t="str">
        <f>IF(AND(Creditos!$C$6&lt;&gt;"",Creditos!$M$6="OK",54&lt;=Creditos!$H$6),EDATE(Creditos!$I$6,53),"")</f>
        <v/>
      </c>
      <c r="F59" s="36" t="str">
        <f>IF(AND(Creditos!$C$6&lt;&gt;"",Creditos!$M$6="OK",54&lt;=Creditos!$H$6),M58,"")</f>
        <v/>
      </c>
      <c r="G59" s="37" t="str">
        <f>IF(AND(Creditos!$C$6&lt;&gt;"",Creditos!$M$6="OK",54&lt;=Creditos!$H$6),Creditos!$N$6,"")</f>
        <v/>
      </c>
      <c r="H59" s="36" t="str">
        <f>IF(AND(Creditos!$C$6&lt;&gt;"",Creditos!$M$6="OK",54&lt;=Creditos!$H$6),ROUND(F59*G59,2),"")</f>
        <v/>
      </c>
      <c r="I59" s="36" t="str">
        <f>IF(AND(Creditos!$C$6&lt;&gt;"",Creditos!$M$6="OK",54&lt;=Creditos!$H$6),IF(54=Creditos!$H$6,F59+H59,MIN(Creditos!$O$6,F59+H59)),"")</f>
        <v/>
      </c>
      <c r="J59" s="36" t="str">
        <f>IF(AND(Creditos!$C$6&lt;&gt;"",Creditos!$M$6="OK",54&lt;=Creditos!$H$6),MIN(F59,MAX(0,I59-H59)),"")</f>
        <v/>
      </c>
      <c r="K59" s="36" t="str">
        <f>IF(AND(Creditos!$C$6&lt;&gt;"",Creditos!$M$6="OK",54&lt;=Creditos!$H$6),Creditos!$J$6+Creditos!$K$6,"")</f>
        <v/>
      </c>
      <c r="L59" s="36" t="str">
        <f>IF(AND(Creditos!$C$6&lt;&gt;"",Creditos!$M$6="OK",54&lt;=Creditos!$H$6),I59+K59,"")</f>
        <v/>
      </c>
      <c r="M59" s="36" t="str">
        <f>IF(AND(Creditos!$C$6&lt;&gt;"",Creditos!$M$6="OK",54&lt;=Creditos!$H$6),MAX(0,F59-J59),"")</f>
        <v/>
      </c>
      <c r="N59" s="36" t="str">
        <f>IF(AND(Creditos!$C$6&lt;&gt;"",Creditos!$M$6="OK",54&lt;=Creditos!$H$6),SUMIFS(Pagos!$F$6:$F$305,Pagos!$C$6:$C$305,C59,Pagos!$D$6:$D$305,D59,Pagos!$E$6:$E$305,"&lt;="&amp;Supuestos!$D$6,Pagos!$H$6:$H$305,"OK"),"")</f>
        <v/>
      </c>
      <c r="O59" s="36" t="str">
        <f>IF(AND(Creditos!$C$6&lt;&gt;"",Creditos!$M$6="OK",54&lt;=Creditos!$H$6),MIN(J59,MAX(0,N59-K59-H59)),"")</f>
        <v/>
      </c>
      <c r="P59" s="36" t="str">
        <f>IF(AND(Creditos!$C$6&lt;&gt;"",Creditos!$M$6="OK",54&lt;=Creditos!$H$6),MAX(0,L59-N59),"")</f>
        <v/>
      </c>
      <c r="Q59" s="39" t="str">
        <f>IF(AND(Creditos!$C$6&lt;&gt;"",Creditos!$M$6="OK",54&lt;=Creditos!$H$6),IF(AND(E59&lt;Supuestos!$D$6,P59&gt;0.005),Supuestos!$D$6-E59,0),"")</f>
        <v/>
      </c>
      <c r="R59" s="36" t="str">
        <f>IF(AND(Creditos!$C$6&lt;&gt;"",Creditos!$M$6="OK",54&lt;=Creditos!$H$6),MAX(0,N59-L59),"")</f>
        <v/>
      </c>
      <c r="S59" s="33" t="str">
        <f>IF(AND(Creditos!$C$6&lt;&gt;"",Creditos!$M$6="OK",54&lt;=Creditos!$H$6),IF(R59&gt;0.005,"Exceso sin imputar",IF(P59&lt;=0.005,"Pagada",IF(E59&lt;Supuestos!$D$6,"Vencida",IF(E59=Supuestos!$D$6,"Vence hoy","Por vencer")))),"")</f>
        <v/>
      </c>
      <c r="T59" s="33">
        <f>IF(AND(Creditos!$C$6&lt;&gt;"",Creditos!$M$6="OK",54&lt;=Creditos!$H$6),IF(P59&gt;0.005,E59,999999),999999)</f>
        <v>999999</v>
      </c>
      <c r="U59" s="1"/>
      <c r="V59" s="1"/>
    </row>
    <row r="60" ht="25.5" customHeight="1">
      <c r="A60" s="1"/>
      <c r="B60" s="1"/>
      <c r="C60" s="33" t="str">
        <f>IF(AND(Creditos!$C$6&lt;&gt;"",Creditos!$M$6="OK",55&lt;=Creditos!$H$6),Creditos!$C$6,"")</f>
        <v/>
      </c>
      <c r="D60" s="33" t="str">
        <f>IF(AND(Creditos!$C$6&lt;&gt;"",Creditos!$M$6="OK",55&lt;=Creditos!$H$6),55,"")</f>
        <v/>
      </c>
      <c r="E60" s="35" t="str">
        <f>IF(AND(Creditos!$C$6&lt;&gt;"",Creditos!$M$6="OK",55&lt;=Creditos!$H$6),EDATE(Creditos!$I$6,54),"")</f>
        <v/>
      </c>
      <c r="F60" s="36" t="str">
        <f>IF(AND(Creditos!$C$6&lt;&gt;"",Creditos!$M$6="OK",55&lt;=Creditos!$H$6),M59,"")</f>
        <v/>
      </c>
      <c r="G60" s="37" t="str">
        <f>IF(AND(Creditos!$C$6&lt;&gt;"",Creditos!$M$6="OK",55&lt;=Creditos!$H$6),Creditos!$N$6,"")</f>
        <v/>
      </c>
      <c r="H60" s="36" t="str">
        <f>IF(AND(Creditos!$C$6&lt;&gt;"",Creditos!$M$6="OK",55&lt;=Creditos!$H$6),ROUND(F60*G60,2),"")</f>
        <v/>
      </c>
      <c r="I60" s="36" t="str">
        <f>IF(AND(Creditos!$C$6&lt;&gt;"",Creditos!$M$6="OK",55&lt;=Creditos!$H$6),IF(55=Creditos!$H$6,F60+H60,MIN(Creditos!$O$6,F60+H60)),"")</f>
        <v/>
      </c>
      <c r="J60" s="36" t="str">
        <f>IF(AND(Creditos!$C$6&lt;&gt;"",Creditos!$M$6="OK",55&lt;=Creditos!$H$6),MIN(F60,MAX(0,I60-H60)),"")</f>
        <v/>
      </c>
      <c r="K60" s="36" t="str">
        <f>IF(AND(Creditos!$C$6&lt;&gt;"",Creditos!$M$6="OK",55&lt;=Creditos!$H$6),Creditos!$J$6+Creditos!$K$6,"")</f>
        <v/>
      </c>
      <c r="L60" s="36" t="str">
        <f>IF(AND(Creditos!$C$6&lt;&gt;"",Creditos!$M$6="OK",55&lt;=Creditos!$H$6),I60+K60,"")</f>
        <v/>
      </c>
      <c r="M60" s="36" t="str">
        <f>IF(AND(Creditos!$C$6&lt;&gt;"",Creditos!$M$6="OK",55&lt;=Creditos!$H$6),MAX(0,F60-J60),"")</f>
        <v/>
      </c>
      <c r="N60" s="36" t="str">
        <f>IF(AND(Creditos!$C$6&lt;&gt;"",Creditos!$M$6="OK",55&lt;=Creditos!$H$6),SUMIFS(Pagos!$F$6:$F$305,Pagos!$C$6:$C$305,C60,Pagos!$D$6:$D$305,D60,Pagos!$E$6:$E$305,"&lt;="&amp;Supuestos!$D$6,Pagos!$H$6:$H$305,"OK"),"")</f>
        <v/>
      </c>
      <c r="O60" s="36" t="str">
        <f>IF(AND(Creditos!$C$6&lt;&gt;"",Creditos!$M$6="OK",55&lt;=Creditos!$H$6),MIN(J60,MAX(0,N60-K60-H60)),"")</f>
        <v/>
      </c>
      <c r="P60" s="36" t="str">
        <f>IF(AND(Creditos!$C$6&lt;&gt;"",Creditos!$M$6="OK",55&lt;=Creditos!$H$6),MAX(0,L60-N60),"")</f>
        <v/>
      </c>
      <c r="Q60" s="39" t="str">
        <f>IF(AND(Creditos!$C$6&lt;&gt;"",Creditos!$M$6="OK",55&lt;=Creditos!$H$6),IF(AND(E60&lt;Supuestos!$D$6,P60&gt;0.005),Supuestos!$D$6-E60,0),"")</f>
        <v/>
      </c>
      <c r="R60" s="36" t="str">
        <f>IF(AND(Creditos!$C$6&lt;&gt;"",Creditos!$M$6="OK",55&lt;=Creditos!$H$6),MAX(0,N60-L60),"")</f>
        <v/>
      </c>
      <c r="S60" s="33" t="str">
        <f>IF(AND(Creditos!$C$6&lt;&gt;"",Creditos!$M$6="OK",55&lt;=Creditos!$H$6),IF(R60&gt;0.005,"Exceso sin imputar",IF(P60&lt;=0.005,"Pagada",IF(E60&lt;Supuestos!$D$6,"Vencida",IF(E60=Supuestos!$D$6,"Vence hoy","Por vencer")))),"")</f>
        <v/>
      </c>
      <c r="T60" s="33">
        <f>IF(AND(Creditos!$C$6&lt;&gt;"",Creditos!$M$6="OK",55&lt;=Creditos!$H$6),IF(P60&gt;0.005,E60,999999),999999)</f>
        <v>999999</v>
      </c>
      <c r="U60" s="1"/>
      <c r="V60" s="1"/>
    </row>
    <row r="61" ht="25.5" customHeight="1">
      <c r="A61" s="1"/>
      <c r="B61" s="1"/>
      <c r="C61" s="33" t="str">
        <f>IF(AND(Creditos!$C$6&lt;&gt;"",Creditos!$M$6="OK",56&lt;=Creditos!$H$6),Creditos!$C$6,"")</f>
        <v/>
      </c>
      <c r="D61" s="33" t="str">
        <f>IF(AND(Creditos!$C$6&lt;&gt;"",Creditos!$M$6="OK",56&lt;=Creditos!$H$6),56,"")</f>
        <v/>
      </c>
      <c r="E61" s="35" t="str">
        <f>IF(AND(Creditos!$C$6&lt;&gt;"",Creditos!$M$6="OK",56&lt;=Creditos!$H$6),EDATE(Creditos!$I$6,55),"")</f>
        <v/>
      </c>
      <c r="F61" s="36" t="str">
        <f>IF(AND(Creditos!$C$6&lt;&gt;"",Creditos!$M$6="OK",56&lt;=Creditos!$H$6),M60,"")</f>
        <v/>
      </c>
      <c r="G61" s="37" t="str">
        <f>IF(AND(Creditos!$C$6&lt;&gt;"",Creditos!$M$6="OK",56&lt;=Creditos!$H$6),Creditos!$N$6,"")</f>
        <v/>
      </c>
      <c r="H61" s="36" t="str">
        <f>IF(AND(Creditos!$C$6&lt;&gt;"",Creditos!$M$6="OK",56&lt;=Creditos!$H$6),ROUND(F61*G61,2),"")</f>
        <v/>
      </c>
      <c r="I61" s="36" t="str">
        <f>IF(AND(Creditos!$C$6&lt;&gt;"",Creditos!$M$6="OK",56&lt;=Creditos!$H$6),IF(56=Creditos!$H$6,F61+H61,MIN(Creditos!$O$6,F61+H61)),"")</f>
        <v/>
      </c>
      <c r="J61" s="36" t="str">
        <f>IF(AND(Creditos!$C$6&lt;&gt;"",Creditos!$M$6="OK",56&lt;=Creditos!$H$6),MIN(F61,MAX(0,I61-H61)),"")</f>
        <v/>
      </c>
      <c r="K61" s="36" t="str">
        <f>IF(AND(Creditos!$C$6&lt;&gt;"",Creditos!$M$6="OK",56&lt;=Creditos!$H$6),Creditos!$J$6+Creditos!$K$6,"")</f>
        <v/>
      </c>
      <c r="L61" s="36" t="str">
        <f>IF(AND(Creditos!$C$6&lt;&gt;"",Creditos!$M$6="OK",56&lt;=Creditos!$H$6),I61+K61,"")</f>
        <v/>
      </c>
      <c r="M61" s="36" t="str">
        <f>IF(AND(Creditos!$C$6&lt;&gt;"",Creditos!$M$6="OK",56&lt;=Creditos!$H$6),MAX(0,F61-J61),"")</f>
        <v/>
      </c>
      <c r="N61" s="36" t="str">
        <f>IF(AND(Creditos!$C$6&lt;&gt;"",Creditos!$M$6="OK",56&lt;=Creditos!$H$6),SUMIFS(Pagos!$F$6:$F$305,Pagos!$C$6:$C$305,C61,Pagos!$D$6:$D$305,D61,Pagos!$E$6:$E$305,"&lt;="&amp;Supuestos!$D$6,Pagos!$H$6:$H$305,"OK"),"")</f>
        <v/>
      </c>
      <c r="O61" s="36" t="str">
        <f>IF(AND(Creditos!$C$6&lt;&gt;"",Creditos!$M$6="OK",56&lt;=Creditos!$H$6),MIN(J61,MAX(0,N61-K61-H61)),"")</f>
        <v/>
      </c>
      <c r="P61" s="36" t="str">
        <f>IF(AND(Creditos!$C$6&lt;&gt;"",Creditos!$M$6="OK",56&lt;=Creditos!$H$6),MAX(0,L61-N61),"")</f>
        <v/>
      </c>
      <c r="Q61" s="39" t="str">
        <f>IF(AND(Creditos!$C$6&lt;&gt;"",Creditos!$M$6="OK",56&lt;=Creditos!$H$6),IF(AND(E61&lt;Supuestos!$D$6,P61&gt;0.005),Supuestos!$D$6-E61,0),"")</f>
        <v/>
      </c>
      <c r="R61" s="36" t="str">
        <f>IF(AND(Creditos!$C$6&lt;&gt;"",Creditos!$M$6="OK",56&lt;=Creditos!$H$6),MAX(0,N61-L61),"")</f>
        <v/>
      </c>
      <c r="S61" s="33" t="str">
        <f>IF(AND(Creditos!$C$6&lt;&gt;"",Creditos!$M$6="OK",56&lt;=Creditos!$H$6),IF(R61&gt;0.005,"Exceso sin imputar",IF(P61&lt;=0.005,"Pagada",IF(E61&lt;Supuestos!$D$6,"Vencida",IF(E61=Supuestos!$D$6,"Vence hoy","Por vencer")))),"")</f>
        <v/>
      </c>
      <c r="T61" s="33">
        <f>IF(AND(Creditos!$C$6&lt;&gt;"",Creditos!$M$6="OK",56&lt;=Creditos!$H$6),IF(P61&gt;0.005,E61,999999),999999)</f>
        <v>999999</v>
      </c>
      <c r="U61" s="1"/>
      <c r="V61" s="1"/>
    </row>
    <row r="62" ht="25.5" customHeight="1">
      <c r="A62" s="1"/>
      <c r="B62" s="1"/>
      <c r="C62" s="33" t="str">
        <f>IF(AND(Creditos!$C$6&lt;&gt;"",Creditos!$M$6="OK",57&lt;=Creditos!$H$6),Creditos!$C$6,"")</f>
        <v/>
      </c>
      <c r="D62" s="33" t="str">
        <f>IF(AND(Creditos!$C$6&lt;&gt;"",Creditos!$M$6="OK",57&lt;=Creditos!$H$6),57,"")</f>
        <v/>
      </c>
      <c r="E62" s="35" t="str">
        <f>IF(AND(Creditos!$C$6&lt;&gt;"",Creditos!$M$6="OK",57&lt;=Creditos!$H$6),EDATE(Creditos!$I$6,56),"")</f>
        <v/>
      </c>
      <c r="F62" s="36" t="str">
        <f>IF(AND(Creditos!$C$6&lt;&gt;"",Creditos!$M$6="OK",57&lt;=Creditos!$H$6),M61,"")</f>
        <v/>
      </c>
      <c r="G62" s="37" t="str">
        <f>IF(AND(Creditos!$C$6&lt;&gt;"",Creditos!$M$6="OK",57&lt;=Creditos!$H$6),Creditos!$N$6,"")</f>
        <v/>
      </c>
      <c r="H62" s="36" t="str">
        <f>IF(AND(Creditos!$C$6&lt;&gt;"",Creditos!$M$6="OK",57&lt;=Creditos!$H$6),ROUND(F62*G62,2),"")</f>
        <v/>
      </c>
      <c r="I62" s="36" t="str">
        <f>IF(AND(Creditos!$C$6&lt;&gt;"",Creditos!$M$6="OK",57&lt;=Creditos!$H$6),IF(57=Creditos!$H$6,F62+H62,MIN(Creditos!$O$6,F62+H62)),"")</f>
        <v/>
      </c>
      <c r="J62" s="36" t="str">
        <f>IF(AND(Creditos!$C$6&lt;&gt;"",Creditos!$M$6="OK",57&lt;=Creditos!$H$6),MIN(F62,MAX(0,I62-H62)),"")</f>
        <v/>
      </c>
      <c r="K62" s="36" t="str">
        <f>IF(AND(Creditos!$C$6&lt;&gt;"",Creditos!$M$6="OK",57&lt;=Creditos!$H$6),Creditos!$J$6+Creditos!$K$6,"")</f>
        <v/>
      </c>
      <c r="L62" s="36" t="str">
        <f>IF(AND(Creditos!$C$6&lt;&gt;"",Creditos!$M$6="OK",57&lt;=Creditos!$H$6),I62+K62,"")</f>
        <v/>
      </c>
      <c r="M62" s="36" t="str">
        <f>IF(AND(Creditos!$C$6&lt;&gt;"",Creditos!$M$6="OK",57&lt;=Creditos!$H$6),MAX(0,F62-J62),"")</f>
        <v/>
      </c>
      <c r="N62" s="36" t="str">
        <f>IF(AND(Creditos!$C$6&lt;&gt;"",Creditos!$M$6="OK",57&lt;=Creditos!$H$6),SUMIFS(Pagos!$F$6:$F$305,Pagos!$C$6:$C$305,C62,Pagos!$D$6:$D$305,D62,Pagos!$E$6:$E$305,"&lt;="&amp;Supuestos!$D$6,Pagos!$H$6:$H$305,"OK"),"")</f>
        <v/>
      </c>
      <c r="O62" s="36" t="str">
        <f>IF(AND(Creditos!$C$6&lt;&gt;"",Creditos!$M$6="OK",57&lt;=Creditos!$H$6),MIN(J62,MAX(0,N62-K62-H62)),"")</f>
        <v/>
      </c>
      <c r="P62" s="36" t="str">
        <f>IF(AND(Creditos!$C$6&lt;&gt;"",Creditos!$M$6="OK",57&lt;=Creditos!$H$6),MAX(0,L62-N62),"")</f>
        <v/>
      </c>
      <c r="Q62" s="39" t="str">
        <f>IF(AND(Creditos!$C$6&lt;&gt;"",Creditos!$M$6="OK",57&lt;=Creditos!$H$6),IF(AND(E62&lt;Supuestos!$D$6,P62&gt;0.005),Supuestos!$D$6-E62,0),"")</f>
        <v/>
      </c>
      <c r="R62" s="36" t="str">
        <f>IF(AND(Creditos!$C$6&lt;&gt;"",Creditos!$M$6="OK",57&lt;=Creditos!$H$6),MAX(0,N62-L62),"")</f>
        <v/>
      </c>
      <c r="S62" s="33" t="str">
        <f>IF(AND(Creditos!$C$6&lt;&gt;"",Creditos!$M$6="OK",57&lt;=Creditos!$H$6),IF(R62&gt;0.005,"Exceso sin imputar",IF(P62&lt;=0.005,"Pagada",IF(E62&lt;Supuestos!$D$6,"Vencida",IF(E62=Supuestos!$D$6,"Vence hoy","Por vencer")))),"")</f>
        <v/>
      </c>
      <c r="T62" s="33">
        <f>IF(AND(Creditos!$C$6&lt;&gt;"",Creditos!$M$6="OK",57&lt;=Creditos!$H$6),IF(P62&gt;0.005,E62,999999),999999)</f>
        <v>999999</v>
      </c>
      <c r="U62" s="1"/>
      <c r="V62" s="1"/>
    </row>
    <row r="63" ht="25.5" customHeight="1">
      <c r="A63" s="1"/>
      <c r="B63" s="1"/>
      <c r="C63" s="33" t="str">
        <f>IF(AND(Creditos!$C$6&lt;&gt;"",Creditos!$M$6="OK",58&lt;=Creditos!$H$6),Creditos!$C$6,"")</f>
        <v/>
      </c>
      <c r="D63" s="33" t="str">
        <f>IF(AND(Creditos!$C$6&lt;&gt;"",Creditos!$M$6="OK",58&lt;=Creditos!$H$6),58,"")</f>
        <v/>
      </c>
      <c r="E63" s="35" t="str">
        <f>IF(AND(Creditos!$C$6&lt;&gt;"",Creditos!$M$6="OK",58&lt;=Creditos!$H$6),EDATE(Creditos!$I$6,57),"")</f>
        <v/>
      </c>
      <c r="F63" s="36" t="str">
        <f>IF(AND(Creditos!$C$6&lt;&gt;"",Creditos!$M$6="OK",58&lt;=Creditos!$H$6),M62,"")</f>
        <v/>
      </c>
      <c r="G63" s="37" t="str">
        <f>IF(AND(Creditos!$C$6&lt;&gt;"",Creditos!$M$6="OK",58&lt;=Creditos!$H$6),Creditos!$N$6,"")</f>
        <v/>
      </c>
      <c r="H63" s="36" t="str">
        <f>IF(AND(Creditos!$C$6&lt;&gt;"",Creditos!$M$6="OK",58&lt;=Creditos!$H$6),ROUND(F63*G63,2),"")</f>
        <v/>
      </c>
      <c r="I63" s="36" t="str">
        <f>IF(AND(Creditos!$C$6&lt;&gt;"",Creditos!$M$6="OK",58&lt;=Creditos!$H$6),IF(58=Creditos!$H$6,F63+H63,MIN(Creditos!$O$6,F63+H63)),"")</f>
        <v/>
      </c>
      <c r="J63" s="36" t="str">
        <f>IF(AND(Creditos!$C$6&lt;&gt;"",Creditos!$M$6="OK",58&lt;=Creditos!$H$6),MIN(F63,MAX(0,I63-H63)),"")</f>
        <v/>
      </c>
      <c r="K63" s="36" t="str">
        <f>IF(AND(Creditos!$C$6&lt;&gt;"",Creditos!$M$6="OK",58&lt;=Creditos!$H$6),Creditos!$J$6+Creditos!$K$6,"")</f>
        <v/>
      </c>
      <c r="L63" s="36" t="str">
        <f>IF(AND(Creditos!$C$6&lt;&gt;"",Creditos!$M$6="OK",58&lt;=Creditos!$H$6),I63+K63,"")</f>
        <v/>
      </c>
      <c r="M63" s="36" t="str">
        <f>IF(AND(Creditos!$C$6&lt;&gt;"",Creditos!$M$6="OK",58&lt;=Creditos!$H$6),MAX(0,F63-J63),"")</f>
        <v/>
      </c>
      <c r="N63" s="36" t="str">
        <f>IF(AND(Creditos!$C$6&lt;&gt;"",Creditos!$M$6="OK",58&lt;=Creditos!$H$6),SUMIFS(Pagos!$F$6:$F$305,Pagos!$C$6:$C$305,C63,Pagos!$D$6:$D$305,D63,Pagos!$E$6:$E$305,"&lt;="&amp;Supuestos!$D$6,Pagos!$H$6:$H$305,"OK"),"")</f>
        <v/>
      </c>
      <c r="O63" s="36" t="str">
        <f>IF(AND(Creditos!$C$6&lt;&gt;"",Creditos!$M$6="OK",58&lt;=Creditos!$H$6),MIN(J63,MAX(0,N63-K63-H63)),"")</f>
        <v/>
      </c>
      <c r="P63" s="36" t="str">
        <f>IF(AND(Creditos!$C$6&lt;&gt;"",Creditos!$M$6="OK",58&lt;=Creditos!$H$6),MAX(0,L63-N63),"")</f>
        <v/>
      </c>
      <c r="Q63" s="39" t="str">
        <f>IF(AND(Creditos!$C$6&lt;&gt;"",Creditos!$M$6="OK",58&lt;=Creditos!$H$6),IF(AND(E63&lt;Supuestos!$D$6,P63&gt;0.005),Supuestos!$D$6-E63,0),"")</f>
        <v/>
      </c>
      <c r="R63" s="36" t="str">
        <f>IF(AND(Creditos!$C$6&lt;&gt;"",Creditos!$M$6="OK",58&lt;=Creditos!$H$6),MAX(0,N63-L63),"")</f>
        <v/>
      </c>
      <c r="S63" s="33" t="str">
        <f>IF(AND(Creditos!$C$6&lt;&gt;"",Creditos!$M$6="OK",58&lt;=Creditos!$H$6),IF(R63&gt;0.005,"Exceso sin imputar",IF(P63&lt;=0.005,"Pagada",IF(E63&lt;Supuestos!$D$6,"Vencida",IF(E63=Supuestos!$D$6,"Vence hoy","Por vencer")))),"")</f>
        <v/>
      </c>
      <c r="T63" s="33">
        <f>IF(AND(Creditos!$C$6&lt;&gt;"",Creditos!$M$6="OK",58&lt;=Creditos!$H$6),IF(P63&gt;0.005,E63,999999),999999)</f>
        <v>999999</v>
      </c>
      <c r="U63" s="1"/>
      <c r="V63" s="1"/>
    </row>
    <row r="64" ht="25.5" customHeight="1">
      <c r="A64" s="1"/>
      <c r="B64" s="1"/>
      <c r="C64" s="33" t="str">
        <f>IF(AND(Creditos!$C$6&lt;&gt;"",Creditos!$M$6="OK",59&lt;=Creditos!$H$6),Creditos!$C$6,"")</f>
        <v/>
      </c>
      <c r="D64" s="33" t="str">
        <f>IF(AND(Creditos!$C$6&lt;&gt;"",Creditos!$M$6="OK",59&lt;=Creditos!$H$6),59,"")</f>
        <v/>
      </c>
      <c r="E64" s="35" t="str">
        <f>IF(AND(Creditos!$C$6&lt;&gt;"",Creditos!$M$6="OK",59&lt;=Creditos!$H$6),EDATE(Creditos!$I$6,58),"")</f>
        <v/>
      </c>
      <c r="F64" s="36" t="str">
        <f>IF(AND(Creditos!$C$6&lt;&gt;"",Creditos!$M$6="OK",59&lt;=Creditos!$H$6),M63,"")</f>
        <v/>
      </c>
      <c r="G64" s="37" t="str">
        <f>IF(AND(Creditos!$C$6&lt;&gt;"",Creditos!$M$6="OK",59&lt;=Creditos!$H$6),Creditos!$N$6,"")</f>
        <v/>
      </c>
      <c r="H64" s="36" t="str">
        <f>IF(AND(Creditos!$C$6&lt;&gt;"",Creditos!$M$6="OK",59&lt;=Creditos!$H$6),ROUND(F64*G64,2),"")</f>
        <v/>
      </c>
      <c r="I64" s="36" t="str">
        <f>IF(AND(Creditos!$C$6&lt;&gt;"",Creditos!$M$6="OK",59&lt;=Creditos!$H$6),IF(59=Creditos!$H$6,F64+H64,MIN(Creditos!$O$6,F64+H64)),"")</f>
        <v/>
      </c>
      <c r="J64" s="36" t="str">
        <f>IF(AND(Creditos!$C$6&lt;&gt;"",Creditos!$M$6="OK",59&lt;=Creditos!$H$6),MIN(F64,MAX(0,I64-H64)),"")</f>
        <v/>
      </c>
      <c r="K64" s="36" t="str">
        <f>IF(AND(Creditos!$C$6&lt;&gt;"",Creditos!$M$6="OK",59&lt;=Creditos!$H$6),Creditos!$J$6+Creditos!$K$6,"")</f>
        <v/>
      </c>
      <c r="L64" s="36" t="str">
        <f>IF(AND(Creditos!$C$6&lt;&gt;"",Creditos!$M$6="OK",59&lt;=Creditos!$H$6),I64+K64,"")</f>
        <v/>
      </c>
      <c r="M64" s="36" t="str">
        <f>IF(AND(Creditos!$C$6&lt;&gt;"",Creditos!$M$6="OK",59&lt;=Creditos!$H$6),MAX(0,F64-J64),"")</f>
        <v/>
      </c>
      <c r="N64" s="36" t="str">
        <f>IF(AND(Creditos!$C$6&lt;&gt;"",Creditos!$M$6="OK",59&lt;=Creditos!$H$6),SUMIFS(Pagos!$F$6:$F$305,Pagos!$C$6:$C$305,C64,Pagos!$D$6:$D$305,D64,Pagos!$E$6:$E$305,"&lt;="&amp;Supuestos!$D$6,Pagos!$H$6:$H$305,"OK"),"")</f>
        <v/>
      </c>
      <c r="O64" s="36" t="str">
        <f>IF(AND(Creditos!$C$6&lt;&gt;"",Creditos!$M$6="OK",59&lt;=Creditos!$H$6),MIN(J64,MAX(0,N64-K64-H64)),"")</f>
        <v/>
      </c>
      <c r="P64" s="36" t="str">
        <f>IF(AND(Creditos!$C$6&lt;&gt;"",Creditos!$M$6="OK",59&lt;=Creditos!$H$6),MAX(0,L64-N64),"")</f>
        <v/>
      </c>
      <c r="Q64" s="39" t="str">
        <f>IF(AND(Creditos!$C$6&lt;&gt;"",Creditos!$M$6="OK",59&lt;=Creditos!$H$6),IF(AND(E64&lt;Supuestos!$D$6,P64&gt;0.005),Supuestos!$D$6-E64,0),"")</f>
        <v/>
      </c>
      <c r="R64" s="36" t="str">
        <f>IF(AND(Creditos!$C$6&lt;&gt;"",Creditos!$M$6="OK",59&lt;=Creditos!$H$6),MAX(0,N64-L64),"")</f>
        <v/>
      </c>
      <c r="S64" s="33" t="str">
        <f>IF(AND(Creditos!$C$6&lt;&gt;"",Creditos!$M$6="OK",59&lt;=Creditos!$H$6),IF(R64&gt;0.005,"Exceso sin imputar",IF(P64&lt;=0.005,"Pagada",IF(E64&lt;Supuestos!$D$6,"Vencida",IF(E64=Supuestos!$D$6,"Vence hoy","Por vencer")))),"")</f>
        <v/>
      </c>
      <c r="T64" s="33">
        <f>IF(AND(Creditos!$C$6&lt;&gt;"",Creditos!$M$6="OK",59&lt;=Creditos!$H$6),IF(P64&gt;0.005,E64,999999),999999)</f>
        <v>999999</v>
      </c>
      <c r="U64" s="1"/>
      <c r="V64" s="1"/>
    </row>
    <row r="65" ht="25.5" customHeight="1">
      <c r="A65" s="1"/>
      <c r="B65" s="1"/>
      <c r="C65" s="33" t="str">
        <f>IF(AND(Creditos!$C$6&lt;&gt;"",Creditos!$M$6="OK",60&lt;=Creditos!$H$6),Creditos!$C$6,"")</f>
        <v/>
      </c>
      <c r="D65" s="33" t="str">
        <f>IF(AND(Creditos!$C$6&lt;&gt;"",Creditos!$M$6="OK",60&lt;=Creditos!$H$6),60,"")</f>
        <v/>
      </c>
      <c r="E65" s="35" t="str">
        <f>IF(AND(Creditos!$C$6&lt;&gt;"",Creditos!$M$6="OK",60&lt;=Creditos!$H$6),EDATE(Creditos!$I$6,59),"")</f>
        <v/>
      </c>
      <c r="F65" s="36" t="str">
        <f>IF(AND(Creditos!$C$6&lt;&gt;"",Creditos!$M$6="OK",60&lt;=Creditos!$H$6),M64,"")</f>
        <v/>
      </c>
      <c r="G65" s="37" t="str">
        <f>IF(AND(Creditos!$C$6&lt;&gt;"",Creditos!$M$6="OK",60&lt;=Creditos!$H$6),Creditos!$N$6,"")</f>
        <v/>
      </c>
      <c r="H65" s="36" t="str">
        <f>IF(AND(Creditos!$C$6&lt;&gt;"",Creditos!$M$6="OK",60&lt;=Creditos!$H$6),ROUND(F65*G65,2),"")</f>
        <v/>
      </c>
      <c r="I65" s="36" t="str">
        <f>IF(AND(Creditos!$C$6&lt;&gt;"",Creditos!$M$6="OK",60&lt;=Creditos!$H$6),IF(60=Creditos!$H$6,F65+H65,MIN(Creditos!$O$6,F65+H65)),"")</f>
        <v/>
      </c>
      <c r="J65" s="36" t="str">
        <f>IF(AND(Creditos!$C$6&lt;&gt;"",Creditos!$M$6="OK",60&lt;=Creditos!$H$6),MIN(F65,MAX(0,I65-H65)),"")</f>
        <v/>
      </c>
      <c r="K65" s="36" t="str">
        <f>IF(AND(Creditos!$C$6&lt;&gt;"",Creditos!$M$6="OK",60&lt;=Creditos!$H$6),Creditos!$J$6+Creditos!$K$6,"")</f>
        <v/>
      </c>
      <c r="L65" s="36" t="str">
        <f>IF(AND(Creditos!$C$6&lt;&gt;"",Creditos!$M$6="OK",60&lt;=Creditos!$H$6),I65+K65,"")</f>
        <v/>
      </c>
      <c r="M65" s="36" t="str">
        <f>IF(AND(Creditos!$C$6&lt;&gt;"",Creditos!$M$6="OK",60&lt;=Creditos!$H$6),MAX(0,F65-J65),"")</f>
        <v/>
      </c>
      <c r="N65" s="36" t="str">
        <f>IF(AND(Creditos!$C$6&lt;&gt;"",Creditos!$M$6="OK",60&lt;=Creditos!$H$6),SUMIFS(Pagos!$F$6:$F$305,Pagos!$C$6:$C$305,C65,Pagos!$D$6:$D$305,D65,Pagos!$E$6:$E$305,"&lt;="&amp;Supuestos!$D$6,Pagos!$H$6:$H$305,"OK"),"")</f>
        <v/>
      </c>
      <c r="O65" s="36" t="str">
        <f>IF(AND(Creditos!$C$6&lt;&gt;"",Creditos!$M$6="OK",60&lt;=Creditos!$H$6),MIN(J65,MAX(0,N65-K65-H65)),"")</f>
        <v/>
      </c>
      <c r="P65" s="36" t="str">
        <f>IF(AND(Creditos!$C$6&lt;&gt;"",Creditos!$M$6="OK",60&lt;=Creditos!$H$6),MAX(0,L65-N65),"")</f>
        <v/>
      </c>
      <c r="Q65" s="39" t="str">
        <f>IF(AND(Creditos!$C$6&lt;&gt;"",Creditos!$M$6="OK",60&lt;=Creditos!$H$6),IF(AND(E65&lt;Supuestos!$D$6,P65&gt;0.005),Supuestos!$D$6-E65,0),"")</f>
        <v/>
      </c>
      <c r="R65" s="36" t="str">
        <f>IF(AND(Creditos!$C$6&lt;&gt;"",Creditos!$M$6="OK",60&lt;=Creditos!$H$6),MAX(0,N65-L65),"")</f>
        <v/>
      </c>
      <c r="S65" s="33" t="str">
        <f>IF(AND(Creditos!$C$6&lt;&gt;"",Creditos!$M$6="OK",60&lt;=Creditos!$H$6),IF(R65&gt;0.005,"Exceso sin imputar",IF(P65&lt;=0.005,"Pagada",IF(E65&lt;Supuestos!$D$6,"Vencida",IF(E65=Supuestos!$D$6,"Vence hoy","Por vencer")))),"")</f>
        <v/>
      </c>
      <c r="T65" s="33">
        <f>IF(AND(Creditos!$C$6&lt;&gt;"",Creditos!$M$6="OK",60&lt;=Creditos!$H$6),IF(P65&gt;0.005,E65,999999),999999)</f>
        <v>999999</v>
      </c>
      <c r="U65" s="1"/>
      <c r="V65" s="1"/>
    </row>
    <row r="66" ht="25.5" customHeight="1">
      <c r="A66" s="1"/>
      <c r="B66" s="1"/>
      <c r="C66" s="33" t="str">
        <f>IF(AND(Creditos!$C$7&lt;&gt;"",Creditos!$M$7="OK",1&lt;=Creditos!$H$7),Creditos!$C$7,"")</f>
        <v>CR002</v>
      </c>
      <c r="D66" s="33">
        <f>IF(AND(Creditos!$C$7&lt;&gt;"",Creditos!$M$7="OK",1&lt;=Creditos!$H$7),1,"")</f>
        <v>1</v>
      </c>
      <c r="E66" s="35">
        <f>IF(AND(Creditos!$C$7&lt;&gt;"",Creditos!$M$7="OK",1&lt;=Creditos!$H$7),EDATE(Creditos!$I$7,0),"")</f>
        <v>46296</v>
      </c>
      <c r="F66" s="36">
        <f>IF(AND(Creditos!$C$7&lt;&gt;"",Creditos!$M$7="OK",1&lt;=Creditos!$H$7),Creditos!$E$7,"")</f>
        <v>600000</v>
      </c>
      <c r="G66" s="37">
        <f>IF(AND(Creditos!$C$7&lt;&gt;"",Creditos!$M$7="OK",1&lt;=Creditos!$H$7),Creditos!$N$7,"")</f>
        <v>0</v>
      </c>
      <c r="H66" s="36">
        <f>IF(AND(Creditos!$C$7&lt;&gt;"",Creditos!$M$7="OK",1&lt;=Creditos!$H$7),ROUND(F66*G66,2),"")</f>
        <v>0</v>
      </c>
      <c r="I66" s="36">
        <f>IF(AND(Creditos!$C$7&lt;&gt;"",Creditos!$M$7="OK",1&lt;=Creditos!$H$7),IF(1=Creditos!$H$7,F66+H66,MIN(Creditos!$O$7,F66+H66)),"")</f>
        <v>100000</v>
      </c>
      <c r="J66" s="36">
        <f>IF(AND(Creditos!$C$7&lt;&gt;"",Creditos!$M$7="OK",1&lt;=Creditos!$H$7),MIN(F66,MAX(0,I66-H66)),"")</f>
        <v>100000</v>
      </c>
      <c r="K66" s="36">
        <f>IF(AND(Creditos!$C$7&lt;&gt;"",Creditos!$M$7="OK",1&lt;=Creditos!$H$7),Creditos!$J$7+Creditos!$K$7,"")</f>
        <v>0</v>
      </c>
      <c r="L66" s="36">
        <f>IF(AND(Creditos!$C$7&lt;&gt;"",Creditos!$M$7="OK",1&lt;=Creditos!$H$7),I66+K66,"")</f>
        <v>100000</v>
      </c>
      <c r="M66" s="36">
        <f>IF(AND(Creditos!$C$7&lt;&gt;"",Creditos!$M$7="OK",1&lt;=Creditos!$H$7),MAX(0,F66-J66),"")</f>
        <v>500000</v>
      </c>
      <c r="N66" s="36">
        <f>IF(AND(Creditos!$C$7&lt;&gt;"",Creditos!$M$7="OK",1&lt;=Creditos!$H$7),SUMIFS(Pagos!$F$6:$F$305,Pagos!$C$6:$C$305,C66,Pagos!$D$6:$D$305,D66,Pagos!$E$6:$E$305,"&lt;="&amp;Supuestos!$D$6,Pagos!$H$6:$H$305,"OK"),"")</f>
        <v>40000</v>
      </c>
      <c r="O66" s="36">
        <f>IF(AND(Creditos!$C$7&lt;&gt;"",Creditos!$M$7="OK",1&lt;=Creditos!$H$7),MIN(J66,MAX(0,N66-K66-H66)),"")</f>
        <v>40000</v>
      </c>
      <c r="P66" s="36">
        <f>IF(AND(Creditos!$C$7&lt;&gt;"",Creditos!$M$7="OK",1&lt;=Creditos!$H$7),MAX(0,L66-N66),"")</f>
        <v>60000</v>
      </c>
      <c r="Q66" s="39">
        <f>IF(AND(Creditos!$C$7&lt;&gt;"",Creditos!$M$7="OK",1&lt;=Creditos!$H$7),IF(AND(E66&lt;Supuestos!$D$6,P66&gt;0.005),Supuestos!$D$6-E66,0),"")</f>
        <v>17</v>
      </c>
      <c r="R66" s="36">
        <f>IF(AND(Creditos!$C$7&lt;&gt;"",Creditos!$M$7="OK",1&lt;=Creditos!$H$7),MAX(0,N66-L66),"")</f>
        <v>0</v>
      </c>
      <c r="S66" s="33" t="str">
        <f>IF(AND(Creditos!$C$7&lt;&gt;"",Creditos!$M$7="OK",1&lt;=Creditos!$H$7),IF(R66&gt;0.005,"Exceso sin imputar",IF(P66&lt;=0.005,"Pagada",IF(E66&lt;Supuestos!$D$6,"Vencida",IF(E66=Supuestos!$D$6,"Vence hoy","Por vencer")))),"")</f>
        <v>Vencida</v>
      </c>
      <c r="T66" s="35">
        <f>IF(AND(Creditos!$C$7&lt;&gt;"",Creditos!$M$7="OK",1&lt;=Creditos!$H$7),IF(P66&gt;0.005,E66,999999),999999)</f>
        <v>46296</v>
      </c>
      <c r="U66" s="1"/>
      <c r="V66" s="1"/>
    </row>
    <row r="67" ht="25.5" customHeight="1">
      <c r="A67" s="1"/>
      <c r="B67" s="1"/>
      <c r="C67" s="33" t="str">
        <f>IF(AND(Creditos!$C$7&lt;&gt;"",Creditos!$M$7="OK",2&lt;=Creditos!$H$7),Creditos!$C$7,"")</f>
        <v>CR002</v>
      </c>
      <c r="D67" s="33">
        <f>IF(AND(Creditos!$C$7&lt;&gt;"",Creditos!$M$7="OK",2&lt;=Creditos!$H$7),2,"")</f>
        <v>2</v>
      </c>
      <c r="E67" s="35">
        <f>IF(AND(Creditos!$C$7&lt;&gt;"",Creditos!$M$7="OK",2&lt;=Creditos!$H$7),EDATE(Creditos!$I$7,1),"")</f>
        <v>46327</v>
      </c>
      <c r="F67" s="36">
        <f>IF(AND(Creditos!$C$7&lt;&gt;"",Creditos!$M$7="OK",2&lt;=Creditos!$H$7),M66,"")</f>
        <v>500000</v>
      </c>
      <c r="G67" s="37">
        <f>IF(AND(Creditos!$C$7&lt;&gt;"",Creditos!$M$7="OK",2&lt;=Creditos!$H$7),Creditos!$N$7,"")</f>
        <v>0</v>
      </c>
      <c r="H67" s="36">
        <f>IF(AND(Creditos!$C$7&lt;&gt;"",Creditos!$M$7="OK",2&lt;=Creditos!$H$7),ROUND(F67*G67,2),"")</f>
        <v>0</v>
      </c>
      <c r="I67" s="36">
        <f>IF(AND(Creditos!$C$7&lt;&gt;"",Creditos!$M$7="OK",2&lt;=Creditos!$H$7),IF(2=Creditos!$H$7,F67+H67,MIN(Creditos!$O$7,F67+H67)),"")</f>
        <v>100000</v>
      </c>
      <c r="J67" s="36">
        <f>IF(AND(Creditos!$C$7&lt;&gt;"",Creditos!$M$7="OK",2&lt;=Creditos!$H$7),MIN(F67,MAX(0,I67-H67)),"")</f>
        <v>100000</v>
      </c>
      <c r="K67" s="36">
        <f>IF(AND(Creditos!$C$7&lt;&gt;"",Creditos!$M$7="OK",2&lt;=Creditos!$H$7),Creditos!$J$7+Creditos!$K$7,"")</f>
        <v>0</v>
      </c>
      <c r="L67" s="36">
        <f>IF(AND(Creditos!$C$7&lt;&gt;"",Creditos!$M$7="OK",2&lt;=Creditos!$H$7),I67+K67,"")</f>
        <v>100000</v>
      </c>
      <c r="M67" s="36">
        <f>IF(AND(Creditos!$C$7&lt;&gt;"",Creditos!$M$7="OK",2&lt;=Creditos!$H$7),MAX(0,F67-J67),"")</f>
        <v>400000</v>
      </c>
      <c r="N67" s="36">
        <f>IF(AND(Creditos!$C$7&lt;&gt;"",Creditos!$M$7="OK",2&lt;=Creditos!$H$7),SUMIFS(Pagos!$F$6:$F$305,Pagos!$C$6:$C$305,C67,Pagos!$D$6:$D$305,D67,Pagos!$E$6:$E$305,"&lt;="&amp;Supuestos!$D$6,Pagos!$H$6:$H$305,"OK"),"")</f>
        <v>0</v>
      </c>
      <c r="O67" s="36">
        <f>IF(AND(Creditos!$C$7&lt;&gt;"",Creditos!$M$7="OK",2&lt;=Creditos!$H$7),MIN(J67,MAX(0,N67-K67-H67)),"")</f>
        <v>0</v>
      </c>
      <c r="P67" s="36">
        <f>IF(AND(Creditos!$C$7&lt;&gt;"",Creditos!$M$7="OK",2&lt;=Creditos!$H$7),MAX(0,L67-N67),"")</f>
        <v>100000</v>
      </c>
      <c r="Q67" s="39">
        <f>IF(AND(Creditos!$C$7&lt;&gt;"",Creditos!$M$7="OK",2&lt;=Creditos!$H$7),IF(AND(E67&lt;Supuestos!$D$6,P67&gt;0.005),Supuestos!$D$6-E67,0),"")</f>
        <v>0</v>
      </c>
      <c r="R67" s="36">
        <f>IF(AND(Creditos!$C$7&lt;&gt;"",Creditos!$M$7="OK",2&lt;=Creditos!$H$7),MAX(0,N67-L67),"")</f>
        <v>0</v>
      </c>
      <c r="S67" s="33" t="str">
        <f>IF(AND(Creditos!$C$7&lt;&gt;"",Creditos!$M$7="OK",2&lt;=Creditos!$H$7),IF(R67&gt;0.005,"Exceso sin imputar",IF(P67&lt;=0.005,"Pagada",IF(E67&lt;Supuestos!$D$6,"Vencida",IF(E67=Supuestos!$D$6,"Vence hoy","Por vencer")))),"")</f>
        <v>Por vencer</v>
      </c>
      <c r="T67" s="35">
        <f>IF(AND(Creditos!$C$7&lt;&gt;"",Creditos!$M$7="OK",2&lt;=Creditos!$H$7),IF(P67&gt;0.005,E67,999999),999999)</f>
        <v>46327</v>
      </c>
      <c r="U67" s="1"/>
      <c r="V67" s="1"/>
    </row>
    <row r="68" ht="25.5" customHeight="1">
      <c r="A68" s="1"/>
      <c r="B68" s="1"/>
      <c r="C68" s="33" t="str">
        <f>IF(AND(Creditos!$C$7&lt;&gt;"",Creditos!$M$7="OK",3&lt;=Creditos!$H$7),Creditos!$C$7,"")</f>
        <v>CR002</v>
      </c>
      <c r="D68" s="33">
        <f>IF(AND(Creditos!$C$7&lt;&gt;"",Creditos!$M$7="OK",3&lt;=Creditos!$H$7),3,"")</f>
        <v>3</v>
      </c>
      <c r="E68" s="35">
        <f>IF(AND(Creditos!$C$7&lt;&gt;"",Creditos!$M$7="OK",3&lt;=Creditos!$H$7),EDATE(Creditos!$I$7,2),"")</f>
        <v>46357</v>
      </c>
      <c r="F68" s="36">
        <f>IF(AND(Creditos!$C$7&lt;&gt;"",Creditos!$M$7="OK",3&lt;=Creditos!$H$7),M67,"")</f>
        <v>400000</v>
      </c>
      <c r="G68" s="37">
        <f>IF(AND(Creditos!$C$7&lt;&gt;"",Creditos!$M$7="OK",3&lt;=Creditos!$H$7),Creditos!$N$7,"")</f>
        <v>0</v>
      </c>
      <c r="H68" s="36">
        <f>IF(AND(Creditos!$C$7&lt;&gt;"",Creditos!$M$7="OK",3&lt;=Creditos!$H$7),ROUND(F68*G68,2),"")</f>
        <v>0</v>
      </c>
      <c r="I68" s="36">
        <f>IF(AND(Creditos!$C$7&lt;&gt;"",Creditos!$M$7="OK",3&lt;=Creditos!$H$7),IF(3=Creditos!$H$7,F68+H68,MIN(Creditos!$O$7,F68+H68)),"")</f>
        <v>100000</v>
      </c>
      <c r="J68" s="36">
        <f>IF(AND(Creditos!$C$7&lt;&gt;"",Creditos!$M$7="OK",3&lt;=Creditos!$H$7),MIN(F68,MAX(0,I68-H68)),"")</f>
        <v>100000</v>
      </c>
      <c r="K68" s="36">
        <f>IF(AND(Creditos!$C$7&lt;&gt;"",Creditos!$M$7="OK",3&lt;=Creditos!$H$7),Creditos!$J$7+Creditos!$K$7,"")</f>
        <v>0</v>
      </c>
      <c r="L68" s="36">
        <f>IF(AND(Creditos!$C$7&lt;&gt;"",Creditos!$M$7="OK",3&lt;=Creditos!$H$7),I68+K68,"")</f>
        <v>100000</v>
      </c>
      <c r="M68" s="36">
        <f>IF(AND(Creditos!$C$7&lt;&gt;"",Creditos!$M$7="OK",3&lt;=Creditos!$H$7),MAX(0,F68-J68),"")</f>
        <v>300000</v>
      </c>
      <c r="N68" s="36">
        <f>IF(AND(Creditos!$C$7&lt;&gt;"",Creditos!$M$7="OK",3&lt;=Creditos!$H$7),SUMIFS(Pagos!$F$6:$F$305,Pagos!$C$6:$C$305,C68,Pagos!$D$6:$D$305,D68,Pagos!$E$6:$E$305,"&lt;="&amp;Supuestos!$D$6,Pagos!$H$6:$H$305,"OK"),"")</f>
        <v>0</v>
      </c>
      <c r="O68" s="36">
        <f>IF(AND(Creditos!$C$7&lt;&gt;"",Creditos!$M$7="OK",3&lt;=Creditos!$H$7),MIN(J68,MAX(0,N68-K68-H68)),"")</f>
        <v>0</v>
      </c>
      <c r="P68" s="36">
        <f>IF(AND(Creditos!$C$7&lt;&gt;"",Creditos!$M$7="OK",3&lt;=Creditos!$H$7),MAX(0,L68-N68),"")</f>
        <v>100000</v>
      </c>
      <c r="Q68" s="39">
        <f>IF(AND(Creditos!$C$7&lt;&gt;"",Creditos!$M$7="OK",3&lt;=Creditos!$H$7),IF(AND(E68&lt;Supuestos!$D$6,P68&gt;0.005),Supuestos!$D$6-E68,0),"")</f>
        <v>0</v>
      </c>
      <c r="R68" s="36">
        <f>IF(AND(Creditos!$C$7&lt;&gt;"",Creditos!$M$7="OK",3&lt;=Creditos!$H$7),MAX(0,N68-L68),"")</f>
        <v>0</v>
      </c>
      <c r="S68" s="33" t="str">
        <f>IF(AND(Creditos!$C$7&lt;&gt;"",Creditos!$M$7="OK",3&lt;=Creditos!$H$7),IF(R68&gt;0.005,"Exceso sin imputar",IF(P68&lt;=0.005,"Pagada",IF(E68&lt;Supuestos!$D$6,"Vencida",IF(E68=Supuestos!$D$6,"Vence hoy","Por vencer")))),"")</f>
        <v>Por vencer</v>
      </c>
      <c r="T68" s="35">
        <f>IF(AND(Creditos!$C$7&lt;&gt;"",Creditos!$M$7="OK",3&lt;=Creditos!$H$7),IF(P68&gt;0.005,E68,999999),999999)</f>
        <v>46357</v>
      </c>
      <c r="U68" s="1"/>
      <c r="V68" s="1"/>
    </row>
    <row r="69" ht="25.5" customHeight="1">
      <c r="A69" s="1"/>
      <c r="B69" s="1"/>
      <c r="C69" s="33" t="str">
        <f>IF(AND(Creditos!$C$7&lt;&gt;"",Creditos!$M$7="OK",4&lt;=Creditos!$H$7),Creditos!$C$7,"")</f>
        <v>CR002</v>
      </c>
      <c r="D69" s="33">
        <f>IF(AND(Creditos!$C$7&lt;&gt;"",Creditos!$M$7="OK",4&lt;=Creditos!$H$7),4,"")</f>
        <v>4</v>
      </c>
      <c r="E69" s="35">
        <f>IF(AND(Creditos!$C$7&lt;&gt;"",Creditos!$M$7="OK",4&lt;=Creditos!$H$7),EDATE(Creditos!$I$7,3),"")</f>
        <v>46388</v>
      </c>
      <c r="F69" s="36">
        <f>IF(AND(Creditos!$C$7&lt;&gt;"",Creditos!$M$7="OK",4&lt;=Creditos!$H$7),M68,"")</f>
        <v>300000</v>
      </c>
      <c r="G69" s="37">
        <f>IF(AND(Creditos!$C$7&lt;&gt;"",Creditos!$M$7="OK",4&lt;=Creditos!$H$7),Creditos!$N$7,"")</f>
        <v>0</v>
      </c>
      <c r="H69" s="36">
        <f>IF(AND(Creditos!$C$7&lt;&gt;"",Creditos!$M$7="OK",4&lt;=Creditos!$H$7),ROUND(F69*G69,2),"")</f>
        <v>0</v>
      </c>
      <c r="I69" s="36">
        <f>IF(AND(Creditos!$C$7&lt;&gt;"",Creditos!$M$7="OK",4&lt;=Creditos!$H$7),IF(4=Creditos!$H$7,F69+H69,MIN(Creditos!$O$7,F69+H69)),"")</f>
        <v>100000</v>
      </c>
      <c r="J69" s="36">
        <f>IF(AND(Creditos!$C$7&lt;&gt;"",Creditos!$M$7="OK",4&lt;=Creditos!$H$7),MIN(F69,MAX(0,I69-H69)),"")</f>
        <v>100000</v>
      </c>
      <c r="K69" s="36">
        <f>IF(AND(Creditos!$C$7&lt;&gt;"",Creditos!$M$7="OK",4&lt;=Creditos!$H$7),Creditos!$J$7+Creditos!$K$7,"")</f>
        <v>0</v>
      </c>
      <c r="L69" s="36">
        <f>IF(AND(Creditos!$C$7&lt;&gt;"",Creditos!$M$7="OK",4&lt;=Creditos!$H$7),I69+K69,"")</f>
        <v>100000</v>
      </c>
      <c r="M69" s="36">
        <f>IF(AND(Creditos!$C$7&lt;&gt;"",Creditos!$M$7="OK",4&lt;=Creditos!$H$7),MAX(0,F69-J69),"")</f>
        <v>200000</v>
      </c>
      <c r="N69" s="36">
        <f>IF(AND(Creditos!$C$7&lt;&gt;"",Creditos!$M$7="OK",4&lt;=Creditos!$H$7),SUMIFS(Pagos!$F$6:$F$305,Pagos!$C$6:$C$305,C69,Pagos!$D$6:$D$305,D69,Pagos!$E$6:$E$305,"&lt;="&amp;Supuestos!$D$6,Pagos!$H$6:$H$305,"OK"),"")</f>
        <v>0</v>
      </c>
      <c r="O69" s="36">
        <f>IF(AND(Creditos!$C$7&lt;&gt;"",Creditos!$M$7="OK",4&lt;=Creditos!$H$7),MIN(J69,MAX(0,N69-K69-H69)),"")</f>
        <v>0</v>
      </c>
      <c r="P69" s="36">
        <f>IF(AND(Creditos!$C$7&lt;&gt;"",Creditos!$M$7="OK",4&lt;=Creditos!$H$7),MAX(0,L69-N69),"")</f>
        <v>100000</v>
      </c>
      <c r="Q69" s="39">
        <f>IF(AND(Creditos!$C$7&lt;&gt;"",Creditos!$M$7="OK",4&lt;=Creditos!$H$7),IF(AND(E69&lt;Supuestos!$D$6,P69&gt;0.005),Supuestos!$D$6-E69,0),"")</f>
        <v>0</v>
      </c>
      <c r="R69" s="36">
        <f>IF(AND(Creditos!$C$7&lt;&gt;"",Creditos!$M$7="OK",4&lt;=Creditos!$H$7),MAX(0,N69-L69),"")</f>
        <v>0</v>
      </c>
      <c r="S69" s="33" t="str">
        <f>IF(AND(Creditos!$C$7&lt;&gt;"",Creditos!$M$7="OK",4&lt;=Creditos!$H$7),IF(R69&gt;0.005,"Exceso sin imputar",IF(P69&lt;=0.005,"Pagada",IF(E69&lt;Supuestos!$D$6,"Vencida",IF(E69=Supuestos!$D$6,"Vence hoy","Por vencer")))),"")</f>
        <v>Por vencer</v>
      </c>
      <c r="T69" s="35">
        <f>IF(AND(Creditos!$C$7&lt;&gt;"",Creditos!$M$7="OK",4&lt;=Creditos!$H$7),IF(P69&gt;0.005,E69,999999),999999)</f>
        <v>46388</v>
      </c>
      <c r="U69" s="1"/>
      <c r="V69" s="1"/>
    </row>
    <row r="70" ht="25.5" customHeight="1">
      <c r="A70" s="1"/>
      <c r="B70" s="1"/>
      <c r="C70" s="33" t="str">
        <f>IF(AND(Creditos!$C$7&lt;&gt;"",Creditos!$M$7="OK",5&lt;=Creditos!$H$7),Creditos!$C$7,"")</f>
        <v>CR002</v>
      </c>
      <c r="D70" s="33">
        <f>IF(AND(Creditos!$C$7&lt;&gt;"",Creditos!$M$7="OK",5&lt;=Creditos!$H$7),5,"")</f>
        <v>5</v>
      </c>
      <c r="E70" s="35">
        <f>IF(AND(Creditos!$C$7&lt;&gt;"",Creditos!$M$7="OK",5&lt;=Creditos!$H$7),EDATE(Creditos!$I$7,4),"")</f>
        <v>46419</v>
      </c>
      <c r="F70" s="36">
        <f>IF(AND(Creditos!$C$7&lt;&gt;"",Creditos!$M$7="OK",5&lt;=Creditos!$H$7),M69,"")</f>
        <v>200000</v>
      </c>
      <c r="G70" s="37">
        <f>IF(AND(Creditos!$C$7&lt;&gt;"",Creditos!$M$7="OK",5&lt;=Creditos!$H$7),Creditos!$N$7,"")</f>
        <v>0</v>
      </c>
      <c r="H70" s="36">
        <f>IF(AND(Creditos!$C$7&lt;&gt;"",Creditos!$M$7="OK",5&lt;=Creditos!$H$7),ROUND(F70*G70,2),"")</f>
        <v>0</v>
      </c>
      <c r="I70" s="36">
        <f>IF(AND(Creditos!$C$7&lt;&gt;"",Creditos!$M$7="OK",5&lt;=Creditos!$H$7),IF(5=Creditos!$H$7,F70+H70,MIN(Creditos!$O$7,F70+H70)),"")</f>
        <v>100000</v>
      </c>
      <c r="J70" s="36">
        <f>IF(AND(Creditos!$C$7&lt;&gt;"",Creditos!$M$7="OK",5&lt;=Creditos!$H$7),MIN(F70,MAX(0,I70-H70)),"")</f>
        <v>100000</v>
      </c>
      <c r="K70" s="36">
        <f>IF(AND(Creditos!$C$7&lt;&gt;"",Creditos!$M$7="OK",5&lt;=Creditos!$H$7),Creditos!$J$7+Creditos!$K$7,"")</f>
        <v>0</v>
      </c>
      <c r="L70" s="36">
        <f>IF(AND(Creditos!$C$7&lt;&gt;"",Creditos!$M$7="OK",5&lt;=Creditos!$H$7),I70+K70,"")</f>
        <v>100000</v>
      </c>
      <c r="M70" s="36">
        <f>IF(AND(Creditos!$C$7&lt;&gt;"",Creditos!$M$7="OK",5&lt;=Creditos!$H$7),MAX(0,F70-J70),"")</f>
        <v>100000</v>
      </c>
      <c r="N70" s="36">
        <f>IF(AND(Creditos!$C$7&lt;&gt;"",Creditos!$M$7="OK",5&lt;=Creditos!$H$7),SUMIFS(Pagos!$F$6:$F$305,Pagos!$C$6:$C$305,C70,Pagos!$D$6:$D$305,D70,Pagos!$E$6:$E$305,"&lt;="&amp;Supuestos!$D$6,Pagos!$H$6:$H$305,"OK"),"")</f>
        <v>0</v>
      </c>
      <c r="O70" s="36">
        <f>IF(AND(Creditos!$C$7&lt;&gt;"",Creditos!$M$7="OK",5&lt;=Creditos!$H$7),MIN(J70,MAX(0,N70-K70-H70)),"")</f>
        <v>0</v>
      </c>
      <c r="P70" s="36">
        <f>IF(AND(Creditos!$C$7&lt;&gt;"",Creditos!$M$7="OK",5&lt;=Creditos!$H$7),MAX(0,L70-N70),"")</f>
        <v>100000</v>
      </c>
      <c r="Q70" s="39">
        <f>IF(AND(Creditos!$C$7&lt;&gt;"",Creditos!$M$7="OK",5&lt;=Creditos!$H$7),IF(AND(E70&lt;Supuestos!$D$6,P70&gt;0.005),Supuestos!$D$6-E70,0),"")</f>
        <v>0</v>
      </c>
      <c r="R70" s="36">
        <f>IF(AND(Creditos!$C$7&lt;&gt;"",Creditos!$M$7="OK",5&lt;=Creditos!$H$7),MAX(0,N70-L70),"")</f>
        <v>0</v>
      </c>
      <c r="S70" s="33" t="str">
        <f>IF(AND(Creditos!$C$7&lt;&gt;"",Creditos!$M$7="OK",5&lt;=Creditos!$H$7),IF(R70&gt;0.005,"Exceso sin imputar",IF(P70&lt;=0.005,"Pagada",IF(E70&lt;Supuestos!$D$6,"Vencida",IF(E70=Supuestos!$D$6,"Vence hoy","Por vencer")))),"")</f>
        <v>Por vencer</v>
      </c>
      <c r="T70" s="35">
        <f>IF(AND(Creditos!$C$7&lt;&gt;"",Creditos!$M$7="OK",5&lt;=Creditos!$H$7),IF(P70&gt;0.005,E70,999999),999999)</f>
        <v>46419</v>
      </c>
      <c r="U70" s="1"/>
      <c r="V70" s="1"/>
    </row>
    <row r="71" ht="25.5" customHeight="1">
      <c r="A71" s="1"/>
      <c r="B71" s="1"/>
      <c r="C71" s="33" t="str">
        <f>IF(AND(Creditos!$C$7&lt;&gt;"",Creditos!$M$7="OK",6&lt;=Creditos!$H$7),Creditos!$C$7,"")</f>
        <v>CR002</v>
      </c>
      <c r="D71" s="33">
        <f>IF(AND(Creditos!$C$7&lt;&gt;"",Creditos!$M$7="OK",6&lt;=Creditos!$H$7),6,"")</f>
        <v>6</v>
      </c>
      <c r="E71" s="35">
        <f>IF(AND(Creditos!$C$7&lt;&gt;"",Creditos!$M$7="OK",6&lt;=Creditos!$H$7),EDATE(Creditos!$I$7,5),"")</f>
        <v>46447</v>
      </c>
      <c r="F71" s="36">
        <f>IF(AND(Creditos!$C$7&lt;&gt;"",Creditos!$M$7="OK",6&lt;=Creditos!$H$7),M70,"")</f>
        <v>100000</v>
      </c>
      <c r="G71" s="37">
        <f>IF(AND(Creditos!$C$7&lt;&gt;"",Creditos!$M$7="OK",6&lt;=Creditos!$H$7),Creditos!$N$7,"")</f>
        <v>0</v>
      </c>
      <c r="H71" s="36">
        <f>IF(AND(Creditos!$C$7&lt;&gt;"",Creditos!$M$7="OK",6&lt;=Creditos!$H$7),ROUND(F71*G71,2),"")</f>
        <v>0</v>
      </c>
      <c r="I71" s="36">
        <f>IF(AND(Creditos!$C$7&lt;&gt;"",Creditos!$M$7="OK",6&lt;=Creditos!$H$7),IF(6=Creditos!$H$7,F71+H71,MIN(Creditos!$O$7,F71+H71)),"")</f>
        <v>100000</v>
      </c>
      <c r="J71" s="36">
        <f>IF(AND(Creditos!$C$7&lt;&gt;"",Creditos!$M$7="OK",6&lt;=Creditos!$H$7),MIN(F71,MAX(0,I71-H71)),"")</f>
        <v>100000</v>
      </c>
      <c r="K71" s="36">
        <f>IF(AND(Creditos!$C$7&lt;&gt;"",Creditos!$M$7="OK",6&lt;=Creditos!$H$7),Creditos!$J$7+Creditos!$K$7,"")</f>
        <v>0</v>
      </c>
      <c r="L71" s="36">
        <f>IF(AND(Creditos!$C$7&lt;&gt;"",Creditos!$M$7="OK",6&lt;=Creditos!$H$7),I71+K71,"")</f>
        <v>100000</v>
      </c>
      <c r="M71" s="36">
        <f>IF(AND(Creditos!$C$7&lt;&gt;"",Creditos!$M$7="OK",6&lt;=Creditos!$H$7),MAX(0,F71-J71),"")</f>
        <v>0</v>
      </c>
      <c r="N71" s="36">
        <f>IF(AND(Creditos!$C$7&lt;&gt;"",Creditos!$M$7="OK",6&lt;=Creditos!$H$7),SUMIFS(Pagos!$F$6:$F$305,Pagos!$C$6:$C$305,C71,Pagos!$D$6:$D$305,D71,Pagos!$E$6:$E$305,"&lt;="&amp;Supuestos!$D$6,Pagos!$H$6:$H$305,"OK"),"")</f>
        <v>0</v>
      </c>
      <c r="O71" s="36">
        <f>IF(AND(Creditos!$C$7&lt;&gt;"",Creditos!$M$7="OK",6&lt;=Creditos!$H$7),MIN(J71,MAX(0,N71-K71-H71)),"")</f>
        <v>0</v>
      </c>
      <c r="P71" s="36">
        <f>IF(AND(Creditos!$C$7&lt;&gt;"",Creditos!$M$7="OK",6&lt;=Creditos!$H$7),MAX(0,L71-N71),"")</f>
        <v>100000</v>
      </c>
      <c r="Q71" s="39">
        <f>IF(AND(Creditos!$C$7&lt;&gt;"",Creditos!$M$7="OK",6&lt;=Creditos!$H$7),IF(AND(E71&lt;Supuestos!$D$6,P71&gt;0.005),Supuestos!$D$6-E71,0),"")</f>
        <v>0</v>
      </c>
      <c r="R71" s="36">
        <f>IF(AND(Creditos!$C$7&lt;&gt;"",Creditos!$M$7="OK",6&lt;=Creditos!$H$7),MAX(0,N71-L71),"")</f>
        <v>0</v>
      </c>
      <c r="S71" s="33" t="str">
        <f>IF(AND(Creditos!$C$7&lt;&gt;"",Creditos!$M$7="OK",6&lt;=Creditos!$H$7),IF(R71&gt;0.005,"Exceso sin imputar",IF(P71&lt;=0.005,"Pagada",IF(E71&lt;Supuestos!$D$6,"Vencida",IF(E71=Supuestos!$D$6,"Vence hoy","Por vencer")))),"")</f>
        <v>Por vencer</v>
      </c>
      <c r="T71" s="35">
        <f>IF(AND(Creditos!$C$7&lt;&gt;"",Creditos!$M$7="OK",6&lt;=Creditos!$H$7),IF(P71&gt;0.005,E71,999999),999999)</f>
        <v>46447</v>
      </c>
      <c r="U71" s="1"/>
      <c r="V71" s="1"/>
    </row>
    <row r="72" ht="25.5" customHeight="1">
      <c r="A72" s="1"/>
      <c r="B72" s="1"/>
      <c r="C72" s="33" t="str">
        <f>IF(AND(Creditos!$C$7&lt;&gt;"",Creditos!$M$7="OK",7&lt;=Creditos!$H$7),Creditos!$C$7,"")</f>
        <v/>
      </c>
      <c r="D72" s="33" t="str">
        <f>IF(AND(Creditos!$C$7&lt;&gt;"",Creditos!$M$7="OK",7&lt;=Creditos!$H$7),7,"")</f>
        <v/>
      </c>
      <c r="E72" s="35" t="str">
        <f>IF(AND(Creditos!$C$7&lt;&gt;"",Creditos!$M$7="OK",7&lt;=Creditos!$H$7),EDATE(Creditos!$I$7,6),"")</f>
        <v/>
      </c>
      <c r="F72" s="36" t="str">
        <f>IF(AND(Creditos!$C$7&lt;&gt;"",Creditos!$M$7="OK",7&lt;=Creditos!$H$7),M71,"")</f>
        <v/>
      </c>
      <c r="G72" s="37" t="str">
        <f>IF(AND(Creditos!$C$7&lt;&gt;"",Creditos!$M$7="OK",7&lt;=Creditos!$H$7),Creditos!$N$7,"")</f>
        <v/>
      </c>
      <c r="H72" s="36" t="str">
        <f>IF(AND(Creditos!$C$7&lt;&gt;"",Creditos!$M$7="OK",7&lt;=Creditos!$H$7),ROUND(F72*G72,2),"")</f>
        <v/>
      </c>
      <c r="I72" s="36" t="str">
        <f>IF(AND(Creditos!$C$7&lt;&gt;"",Creditos!$M$7="OK",7&lt;=Creditos!$H$7),IF(7=Creditos!$H$7,F72+H72,MIN(Creditos!$O$7,F72+H72)),"")</f>
        <v/>
      </c>
      <c r="J72" s="36" t="str">
        <f>IF(AND(Creditos!$C$7&lt;&gt;"",Creditos!$M$7="OK",7&lt;=Creditos!$H$7),MIN(F72,MAX(0,I72-H72)),"")</f>
        <v/>
      </c>
      <c r="K72" s="36" t="str">
        <f>IF(AND(Creditos!$C$7&lt;&gt;"",Creditos!$M$7="OK",7&lt;=Creditos!$H$7),Creditos!$J$7+Creditos!$K$7,"")</f>
        <v/>
      </c>
      <c r="L72" s="36" t="str">
        <f>IF(AND(Creditos!$C$7&lt;&gt;"",Creditos!$M$7="OK",7&lt;=Creditos!$H$7),I72+K72,"")</f>
        <v/>
      </c>
      <c r="M72" s="36" t="str">
        <f>IF(AND(Creditos!$C$7&lt;&gt;"",Creditos!$M$7="OK",7&lt;=Creditos!$H$7),MAX(0,F72-J72),"")</f>
        <v/>
      </c>
      <c r="N72" s="36" t="str">
        <f>IF(AND(Creditos!$C$7&lt;&gt;"",Creditos!$M$7="OK",7&lt;=Creditos!$H$7),SUMIFS(Pagos!$F$6:$F$305,Pagos!$C$6:$C$305,C72,Pagos!$D$6:$D$305,D72,Pagos!$E$6:$E$305,"&lt;="&amp;Supuestos!$D$6,Pagos!$H$6:$H$305,"OK"),"")</f>
        <v/>
      </c>
      <c r="O72" s="36" t="str">
        <f>IF(AND(Creditos!$C$7&lt;&gt;"",Creditos!$M$7="OK",7&lt;=Creditos!$H$7),MIN(J72,MAX(0,N72-K72-H72)),"")</f>
        <v/>
      </c>
      <c r="P72" s="36" t="str">
        <f>IF(AND(Creditos!$C$7&lt;&gt;"",Creditos!$M$7="OK",7&lt;=Creditos!$H$7),MAX(0,L72-N72),"")</f>
        <v/>
      </c>
      <c r="Q72" s="39" t="str">
        <f>IF(AND(Creditos!$C$7&lt;&gt;"",Creditos!$M$7="OK",7&lt;=Creditos!$H$7),IF(AND(E72&lt;Supuestos!$D$6,P72&gt;0.005),Supuestos!$D$6-E72,0),"")</f>
        <v/>
      </c>
      <c r="R72" s="36" t="str">
        <f>IF(AND(Creditos!$C$7&lt;&gt;"",Creditos!$M$7="OK",7&lt;=Creditos!$H$7),MAX(0,N72-L72),"")</f>
        <v/>
      </c>
      <c r="S72" s="33" t="str">
        <f>IF(AND(Creditos!$C$7&lt;&gt;"",Creditos!$M$7="OK",7&lt;=Creditos!$H$7),IF(R72&gt;0.005,"Exceso sin imputar",IF(P72&lt;=0.005,"Pagada",IF(E72&lt;Supuestos!$D$6,"Vencida",IF(E72=Supuestos!$D$6,"Vence hoy","Por vencer")))),"")</f>
        <v/>
      </c>
      <c r="T72" s="33">
        <f>IF(AND(Creditos!$C$7&lt;&gt;"",Creditos!$M$7="OK",7&lt;=Creditos!$H$7),IF(P72&gt;0.005,E72,999999),999999)</f>
        <v>999999</v>
      </c>
      <c r="U72" s="1"/>
      <c r="V72" s="1"/>
    </row>
    <row r="73" ht="25.5" customHeight="1">
      <c r="A73" s="1"/>
      <c r="B73" s="1"/>
      <c r="C73" s="33" t="str">
        <f>IF(AND(Creditos!$C$7&lt;&gt;"",Creditos!$M$7="OK",8&lt;=Creditos!$H$7),Creditos!$C$7,"")</f>
        <v/>
      </c>
      <c r="D73" s="33" t="str">
        <f>IF(AND(Creditos!$C$7&lt;&gt;"",Creditos!$M$7="OK",8&lt;=Creditos!$H$7),8,"")</f>
        <v/>
      </c>
      <c r="E73" s="35" t="str">
        <f>IF(AND(Creditos!$C$7&lt;&gt;"",Creditos!$M$7="OK",8&lt;=Creditos!$H$7),EDATE(Creditos!$I$7,7),"")</f>
        <v/>
      </c>
      <c r="F73" s="36" t="str">
        <f>IF(AND(Creditos!$C$7&lt;&gt;"",Creditos!$M$7="OK",8&lt;=Creditos!$H$7),M72,"")</f>
        <v/>
      </c>
      <c r="G73" s="37" t="str">
        <f>IF(AND(Creditos!$C$7&lt;&gt;"",Creditos!$M$7="OK",8&lt;=Creditos!$H$7),Creditos!$N$7,"")</f>
        <v/>
      </c>
      <c r="H73" s="36" t="str">
        <f>IF(AND(Creditos!$C$7&lt;&gt;"",Creditos!$M$7="OK",8&lt;=Creditos!$H$7),ROUND(F73*G73,2),"")</f>
        <v/>
      </c>
      <c r="I73" s="36" t="str">
        <f>IF(AND(Creditos!$C$7&lt;&gt;"",Creditos!$M$7="OK",8&lt;=Creditos!$H$7),IF(8=Creditos!$H$7,F73+H73,MIN(Creditos!$O$7,F73+H73)),"")</f>
        <v/>
      </c>
      <c r="J73" s="36" t="str">
        <f>IF(AND(Creditos!$C$7&lt;&gt;"",Creditos!$M$7="OK",8&lt;=Creditos!$H$7),MIN(F73,MAX(0,I73-H73)),"")</f>
        <v/>
      </c>
      <c r="K73" s="36" t="str">
        <f>IF(AND(Creditos!$C$7&lt;&gt;"",Creditos!$M$7="OK",8&lt;=Creditos!$H$7),Creditos!$J$7+Creditos!$K$7,"")</f>
        <v/>
      </c>
      <c r="L73" s="36" t="str">
        <f>IF(AND(Creditos!$C$7&lt;&gt;"",Creditos!$M$7="OK",8&lt;=Creditos!$H$7),I73+K73,"")</f>
        <v/>
      </c>
      <c r="M73" s="36" t="str">
        <f>IF(AND(Creditos!$C$7&lt;&gt;"",Creditos!$M$7="OK",8&lt;=Creditos!$H$7),MAX(0,F73-J73),"")</f>
        <v/>
      </c>
      <c r="N73" s="36" t="str">
        <f>IF(AND(Creditos!$C$7&lt;&gt;"",Creditos!$M$7="OK",8&lt;=Creditos!$H$7),SUMIFS(Pagos!$F$6:$F$305,Pagos!$C$6:$C$305,C73,Pagos!$D$6:$D$305,D73,Pagos!$E$6:$E$305,"&lt;="&amp;Supuestos!$D$6,Pagos!$H$6:$H$305,"OK"),"")</f>
        <v/>
      </c>
      <c r="O73" s="36" t="str">
        <f>IF(AND(Creditos!$C$7&lt;&gt;"",Creditos!$M$7="OK",8&lt;=Creditos!$H$7),MIN(J73,MAX(0,N73-K73-H73)),"")</f>
        <v/>
      </c>
      <c r="P73" s="36" t="str">
        <f>IF(AND(Creditos!$C$7&lt;&gt;"",Creditos!$M$7="OK",8&lt;=Creditos!$H$7),MAX(0,L73-N73),"")</f>
        <v/>
      </c>
      <c r="Q73" s="39" t="str">
        <f>IF(AND(Creditos!$C$7&lt;&gt;"",Creditos!$M$7="OK",8&lt;=Creditos!$H$7),IF(AND(E73&lt;Supuestos!$D$6,P73&gt;0.005),Supuestos!$D$6-E73,0),"")</f>
        <v/>
      </c>
      <c r="R73" s="36" t="str">
        <f>IF(AND(Creditos!$C$7&lt;&gt;"",Creditos!$M$7="OK",8&lt;=Creditos!$H$7),MAX(0,N73-L73),"")</f>
        <v/>
      </c>
      <c r="S73" s="33" t="str">
        <f>IF(AND(Creditos!$C$7&lt;&gt;"",Creditos!$M$7="OK",8&lt;=Creditos!$H$7),IF(R73&gt;0.005,"Exceso sin imputar",IF(P73&lt;=0.005,"Pagada",IF(E73&lt;Supuestos!$D$6,"Vencida",IF(E73=Supuestos!$D$6,"Vence hoy","Por vencer")))),"")</f>
        <v/>
      </c>
      <c r="T73" s="33">
        <f>IF(AND(Creditos!$C$7&lt;&gt;"",Creditos!$M$7="OK",8&lt;=Creditos!$H$7),IF(P73&gt;0.005,E73,999999),999999)</f>
        <v>999999</v>
      </c>
      <c r="U73" s="1"/>
      <c r="V73" s="1"/>
    </row>
    <row r="74" ht="25.5" customHeight="1">
      <c r="A74" s="1"/>
      <c r="B74" s="1"/>
      <c r="C74" s="33" t="str">
        <f>IF(AND(Creditos!$C$7&lt;&gt;"",Creditos!$M$7="OK",9&lt;=Creditos!$H$7),Creditos!$C$7,"")</f>
        <v/>
      </c>
      <c r="D74" s="33" t="str">
        <f>IF(AND(Creditos!$C$7&lt;&gt;"",Creditos!$M$7="OK",9&lt;=Creditos!$H$7),9,"")</f>
        <v/>
      </c>
      <c r="E74" s="35" t="str">
        <f>IF(AND(Creditos!$C$7&lt;&gt;"",Creditos!$M$7="OK",9&lt;=Creditos!$H$7),EDATE(Creditos!$I$7,8),"")</f>
        <v/>
      </c>
      <c r="F74" s="36" t="str">
        <f>IF(AND(Creditos!$C$7&lt;&gt;"",Creditos!$M$7="OK",9&lt;=Creditos!$H$7),M73,"")</f>
        <v/>
      </c>
      <c r="G74" s="37" t="str">
        <f>IF(AND(Creditos!$C$7&lt;&gt;"",Creditos!$M$7="OK",9&lt;=Creditos!$H$7),Creditos!$N$7,"")</f>
        <v/>
      </c>
      <c r="H74" s="36" t="str">
        <f>IF(AND(Creditos!$C$7&lt;&gt;"",Creditos!$M$7="OK",9&lt;=Creditos!$H$7),ROUND(F74*G74,2),"")</f>
        <v/>
      </c>
      <c r="I74" s="36" t="str">
        <f>IF(AND(Creditos!$C$7&lt;&gt;"",Creditos!$M$7="OK",9&lt;=Creditos!$H$7),IF(9=Creditos!$H$7,F74+H74,MIN(Creditos!$O$7,F74+H74)),"")</f>
        <v/>
      </c>
      <c r="J74" s="36" t="str">
        <f>IF(AND(Creditos!$C$7&lt;&gt;"",Creditos!$M$7="OK",9&lt;=Creditos!$H$7),MIN(F74,MAX(0,I74-H74)),"")</f>
        <v/>
      </c>
      <c r="K74" s="36" t="str">
        <f>IF(AND(Creditos!$C$7&lt;&gt;"",Creditos!$M$7="OK",9&lt;=Creditos!$H$7),Creditos!$J$7+Creditos!$K$7,"")</f>
        <v/>
      </c>
      <c r="L74" s="36" t="str">
        <f>IF(AND(Creditos!$C$7&lt;&gt;"",Creditos!$M$7="OK",9&lt;=Creditos!$H$7),I74+K74,"")</f>
        <v/>
      </c>
      <c r="M74" s="36" t="str">
        <f>IF(AND(Creditos!$C$7&lt;&gt;"",Creditos!$M$7="OK",9&lt;=Creditos!$H$7),MAX(0,F74-J74),"")</f>
        <v/>
      </c>
      <c r="N74" s="36" t="str">
        <f>IF(AND(Creditos!$C$7&lt;&gt;"",Creditos!$M$7="OK",9&lt;=Creditos!$H$7),SUMIFS(Pagos!$F$6:$F$305,Pagos!$C$6:$C$305,C74,Pagos!$D$6:$D$305,D74,Pagos!$E$6:$E$305,"&lt;="&amp;Supuestos!$D$6,Pagos!$H$6:$H$305,"OK"),"")</f>
        <v/>
      </c>
      <c r="O74" s="36" t="str">
        <f>IF(AND(Creditos!$C$7&lt;&gt;"",Creditos!$M$7="OK",9&lt;=Creditos!$H$7),MIN(J74,MAX(0,N74-K74-H74)),"")</f>
        <v/>
      </c>
      <c r="P74" s="36" t="str">
        <f>IF(AND(Creditos!$C$7&lt;&gt;"",Creditos!$M$7="OK",9&lt;=Creditos!$H$7),MAX(0,L74-N74),"")</f>
        <v/>
      </c>
      <c r="Q74" s="39" t="str">
        <f>IF(AND(Creditos!$C$7&lt;&gt;"",Creditos!$M$7="OK",9&lt;=Creditos!$H$7),IF(AND(E74&lt;Supuestos!$D$6,P74&gt;0.005),Supuestos!$D$6-E74,0),"")</f>
        <v/>
      </c>
      <c r="R74" s="36" t="str">
        <f>IF(AND(Creditos!$C$7&lt;&gt;"",Creditos!$M$7="OK",9&lt;=Creditos!$H$7),MAX(0,N74-L74),"")</f>
        <v/>
      </c>
      <c r="S74" s="33" t="str">
        <f>IF(AND(Creditos!$C$7&lt;&gt;"",Creditos!$M$7="OK",9&lt;=Creditos!$H$7),IF(R74&gt;0.005,"Exceso sin imputar",IF(P74&lt;=0.005,"Pagada",IF(E74&lt;Supuestos!$D$6,"Vencida",IF(E74=Supuestos!$D$6,"Vence hoy","Por vencer")))),"")</f>
        <v/>
      </c>
      <c r="T74" s="33">
        <f>IF(AND(Creditos!$C$7&lt;&gt;"",Creditos!$M$7="OK",9&lt;=Creditos!$H$7),IF(P74&gt;0.005,E74,999999),999999)</f>
        <v>999999</v>
      </c>
      <c r="U74" s="1"/>
      <c r="V74" s="1"/>
    </row>
    <row r="75" ht="25.5" customHeight="1">
      <c r="A75" s="1"/>
      <c r="B75" s="1"/>
      <c r="C75" s="33" t="str">
        <f>IF(AND(Creditos!$C$7&lt;&gt;"",Creditos!$M$7="OK",10&lt;=Creditos!$H$7),Creditos!$C$7,"")</f>
        <v/>
      </c>
      <c r="D75" s="33" t="str">
        <f>IF(AND(Creditos!$C$7&lt;&gt;"",Creditos!$M$7="OK",10&lt;=Creditos!$H$7),10,"")</f>
        <v/>
      </c>
      <c r="E75" s="35" t="str">
        <f>IF(AND(Creditos!$C$7&lt;&gt;"",Creditos!$M$7="OK",10&lt;=Creditos!$H$7),EDATE(Creditos!$I$7,9),"")</f>
        <v/>
      </c>
      <c r="F75" s="36" t="str">
        <f>IF(AND(Creditos!$C$7&lt;&gt;"",Creditos!$M$7="OK",10&lt;=Creditos!$H$7),M74,"")</f>
        <v/>
      </c>
      <c r="G75" s="37" t="str">
        <f>IF(AND(Creditos!$C$7&lt;&gt;"",Creditos!$M$7="OK",10&lt;=Creditos!$H$7),Creditos!$N$7,"")</f>
        <v/>
      </c>
      <c r="H75" s="36" t="str">
        <f>IF(AND(Creditos!$C$7&lt;&gt;"",Creditos!$M$7="OK",10&lt;=Creditos!$H$7),ROUND(F75*G75,2),"")</f>
        <v/>
      </c>
      <c r="I75" s="36" t="str">
        <f>IF(AND(Creditos!$C$7&lt;&gt;"",Creditos!$M$7="OK",10&lt;=Creditos!$H$7),IF(10=Creditos!$H$7,F75+H75,MIN(Creditos!$O$7,F75+H75)),"")</f>
        <v/>
      </c>
      <c r="J75" s="36" t="str">
        <f>IF(AND(Creditos!$C$7&lt;&gt;"",Creditos!$M$7="OK",10&lt;=Creditos!$H$7),MIN(F75,MAX(0,I75-H75)),"")</f>
        <v/>
      </c>
      <c r="K75" s="36" t="str">
        <f>IF(AND(Creditos!$C$7&lt;&gt;"",Creditos!$M$7="OK",10&lt;=Creditos!$H$7),Creditos!$J$7+Creditos!$K$7,"")</f>
        <v/>
      </c>
      <c r="L75" s="36" t="str">
        <f>IF(AND(Creditos!$C$7&lt;&gt;"",Creditos!$M$7="OK",10&lt;=Creditos!$H$7),I75+K75,"")</f>
        <v/>
      </c>
      <c r="M75" s="36" t="str">
        <f>IF(AND(Creditos!$C$7&lt;&gt;"",Creditos!$M$7="OK",10&lt;=Creditos!$H$7),MAX(0,F75-J75),"")</f>
        <v/>
      </c>
      <c r="N75" s="36" t="str">
        <f>IF(AND(Creditos!$C$7&lt;&gt;"",Creditos!$M$7="OK",10&lt;=Creditos!$H$7),SUMIFS(Pagos!$F$6:$F$305,Pagos!$C$6:$C$305,C75,Pagos!$D$6:$D$305,D75,Pagos!$E$6:$E$305,"&lt;="&amp;Supuestos!$D$6,Pagos!$H$6:$H$305,"OK"),"")</f>
        <v/>
      </c>
      <c r="O75" s="36" t="str">
        <f>IF(AND(Creditos!$C$7&lt;&gt;"",Creditos!$M$7="OK",10&lt;=Creditos!$H$7),MIN(J75,MAX(0,N75-K75-H75)),"")</f>
        <v/>
      </c>
      <c r="P75" s="36" t="str">
        <f>IF(AND(Creditos!$C$7&lt;&gt;"",Creditos!$M$7="OK",10&lt;=Creditos!$H$7),MAX(0,L75-N75),"")</f>
        <v/>
      </c>
      <c r="Q75" s="39" t="str">
        <f>IF(AND(Creditos!$C$7&lt;&gt;"",Creditos!$M$7="OK",10&lt;=Creditos!$H$7),IF(AND(E75&lt;Supuestos!$D$6,P75&gt;0.005),Supuestos!$D$6-E75,0),"")</f>
        <v/>
      </c>
      <c r="R75" s="36" t="str">
        <f>IF(AND(Creditos!$C$7&lt;&gt;"",Creditos!$M$7="OK",10&lt;=Creditos!$H$7),MAX(0,N75-L75),"")</f>
        <v/>
      </c>
      <c r="S75" s="33" t="str">
        <f>IF(AND(Creditos!$C$7&lt;&gt;"",Creditos!$M$7="OK",10&lt;=Creditos!$H$7),IF(R75&gt;0.005,"Exceso sin imputar",IF(P75&lt;=0.005,"Pagada",IF(E75&lt;Supuestos!$D$6,"Vencida",IF(E75=Supuestos!$D$6,"Vence hoy","Por vencer")))),"")</f>
        <v/>
      </c>
      <c r="T75" s="33">
        <f>IF(AND(Creditos!$C$7&lt;&gt;"",Creditos!$M$7="OK",10&lt;=Creditos!$H$7),IF(P75&gt;0.005,E75,999999),999999)</f>
        <v>999999</v>
      </c>
      <c r="U75" s="1"/>
      <c r="V75" s="1"/>
    </row>
    <row r="76" ht="25.5" customHeight="1">
      <c r="A76" s="1"/>
      <c r="B76" s="1"/>
      <c r="C76" s="33" t="str">
        <f>IF(AND(Creditos!$C$7&lt;&gt;"",Creditos!$M$7="OK",11&lt;=Creditos!$H$7),Creditos!$C$7,"")</f>
        <v/>
      </c>
      <c r="D76" s="33" t="str">
        <f>IF(AND(Creditos!$C$7&lt;&gt;"",Creditos!$M$7="OK",11&lt;=Creditos!$H$7),11,"")</f>
        <v/>
      </c>
      <c r="E76" s="35" t="str">
        <f>IF(AND(Creditos!$C$7&lt;&gt;"",Creditos!$M$7="OK",11&lt;=Creditos!$H$7),EDATE(Creditos!$I$7,10),"")</f>
        <v/>
      </c>
      <c r="F76" s="36" t="str">
        <f>IF(AND(Creditos!$C$7&lt;&gt;"",Creditos!$M$7="OK",11&lt;=Creditos!$H$7),M75,"")</f>
        <v/>
      </c>
      <c r="G76" s="37" t="str">
        <f>IF(AND(Creditos!$C$7&lt;&gt;"",Creditos!$M$7="OK",11&lt;=Creditos!$H$7),Creditos!$N$7,"")</f>
        <v/>
      </c>
      <c r="H76" s="36" t="str">
        <f>IF(AND(Creditos!$C$7&lt;&gt;"",Creditos!$M$7="OK",11&lt;=Creditos!$H$7),ROUND(F76*G76,2),"")</f>
        <v/>
      </c>
      <c r="I76" s="36" t="str">
        <f>IF(AND(Creditos!$C$7&lt;&gt;"",Creditos!$M$7="OK",11&lt;=Creditos!$H$7),IF(11=Creditos!$H$7,F76+H76,MIN(Creditos!$O$7,F76+H76)),"")</f>
        <v/>
      </c>
      <c r="J76" s="36" t="str">
        <f>IF(AND(Creditos!$C$7&lt;&gt;"",Creditos!$M$7="OK",11&lt;=Creditos!$H$7),MIN(F76,MAX(0,I76-H76)),"")</f>
        <v/>
      </c>
      <c r="K76" s="36" t="str">
        <f>IF(AND(Creditos!$C$7&lt;&gt;"",Creditos!$M$7="OK",11&lt;=Creditos!$H$7),Creditos!$J$7+Creditos!$K$7,"")</f>
        <v/>
      </c>
      <c r="L76" s="36" t="str">
        <f>IF(AND(Creditos!$C$7&lt;&gt;"",Creditos!$M$7="OK",11&lt;=Creditos!$H$7),I76+K76,"")</f>
        <v/>
      </c>
      <c r="M76" s="36" t="str">
        <f>IF(AND(Creditos!$C$7&lt;&gt;"",Creditos!$M$7="OK",11&lt;=Creditos!$H$7),MAX(0,F76-J76),"")</f>
        <v/>
      </c>
      <c r="N76" s="36" t="str">
        <f>IF(AND(Creditos!$C$7&lt;&gt;"",Creditos!$M$7="OK",11&lt;=Creditos!$H$7),SUMIFS(Pagos!$F$6:$F$305,Pagos!$C$6:$C$305,C76,Pagos!$D$6:$D$305,D76,Pagos!$E$6:$E$305,"&lt;="&amp;Supuestos!$D$6,Pagos!$H$6:$H$305,"OK"),"")</f>
        <v/>
      </c>
      <c r="O76" s="36" t="str">
        <f>IF(AND(Creditos!$C$7&lt;&gt;"",Creditos!$M$7="OK",11&lt;=Creditos!$H$7),MIN(J76,MAX(0,N76-K76-H76)),"")</f>
        <v/>
      </c>
      <c r="P76" s="36" t="str">
        <f>IF(AND(Creditos!$C$7&lt;&gt;"",Creditos!$M$7="OK",11&lt;=Creditos!$H$7),MAX(0,L76-N76),"")</f>
        <v/>
      </c>
      <c r="Q76" s="39" t="str">
        <f>IF(AND(Creditos!$C$7&lt;&gt;"",Creditos!$M$7="OK",11&lt;=Creditos!$H$7),IF(AND(E76&lt;Supuestos!$D$6,P76&gt;0.005),Supuestos!$D$6-E76,0),"")</f>
        <v/>
      </c>
      <c r="R76" s="36" t="str">
        <f>IF(AND(Creditos!$C$7&lt;&gt;"",Creditos!$M$7="OK",11&lt;=Creditos!$H$7),MAX(0,N76-L76),"")</f>
        <v/>
      </c>
      <c r="S76" s="33" t="str">
        <f>IF(AND(Creditos!$C$7&lt;&gt;"",Creditos!$M$7="OK",11&lt;=Creditos!$H$7),IF(R76&gt;0.005,"Exceso sin imputar",IF(P76&lt;=0.005,"Pagada",IF(E76&lt;Supuestos!$D$6,"Vencida",IF(E76=Supuestos!$D$6,"Vence hoy","Por vencer")))),"")</f>
        <v/>
      </c>
      <c r="T76" s="33">
        <f>IF(AND(Creditos!$C$7&lt;&gt;"",Creditos!$M$7="OK",11&lt;=Creditos!$H$7),IF(P76&gt;0.005,E76,999999),999999)</f>
        <v>999999</v>
      </c>
      <c r="U76" s="1"/>
      <c r="V76" s="1"/>
    </row>
    <row r="77" ht="25.5" customHeight="1">
      <c r="A77" s="1"/>
      <c r="B77" s="1"/>
      <c r="C77" s="33" t="str">
        <f>IF(AND(Creditos!$C$7&lt;&gt;"",Creditos!$M$7="OK",12&lt;=Creditos!$H$7),Creditos!$C$7,"")</f>
        <v/>
      </c>
      <c r="D77" s="33" t="str">
        <f>IF(AND(Creditos!$C$7&lt;&gt;"",Creditos!$M$7="OK",12&lt;=Creditos!$H$7),12,"")</f>
        <v/>
      </c>
      <c r="E77" s="35" t="str">
        <f>IF(AND(Creditos!$C$7&lt;&gt;"",Creditos!$M$7="OK",12&lt;=Creditos!$H$7),EDATE(Creditos!$I$7,11),"")</f>
        <v/>
      </c>
      <c r="F77" s="36" t="str">
        <f>IF(AND(Creditos!$C$7&lt;&gt;"",Creditos!$M$7="OK",12&lt;=Creditos!$H$7),M76,"")</f>
        <v/>
      </c>
      <c r="G77" s="37" t="str">
        <f>IF(AND(Creditos!$C$7&lt;&gt;"",Creditos!$M$7="OK",12&lt;=Creditos!$H$7),Creditos!$N$7,"")</f>
        <v/>
      </c>
      <c r="H77" s="36" t="str">
        <f>IF(AND(Creditos!$C$7&lt;&gt;"",Creditos!$M$7="OK",12&lt;=Creditos!$H$7),ROUND(F77*G77,2),"")</f>
        <v/>
      </c>
      <c r="I77" s="36" t="str">
        <f>IF(AND(Creditos!$C$7&lt;&gt;"",Creditos!$M$7="OK",12&lt;=Creditos!$H$7),IF(12=Creditos!$H$7,F77+H77,MIN(Creditos!$O$7,F77+H77)),"")</f>
        <v/>
      </c>
      <c r="J77" s="36" t="str">
        <f>IF(AND(Creditos!$C$7&lt;&gt;"",Creditos!$M$7="OK",12&lt;=Creditos!$H$7),MIN(F77,MAX(0,I77-H77)),"")</f>
        <v/>
      </c>
      <c r="K77" s="36" t="str">
        <f>IF(AND(Creditos!$C$7&lt;&gt;"",Creditos!$M$7="OK",12&lt;=Creditos!$H$7),Creditos!$J$7+Creditos!$K$7,"")</f>
        <v/>
      </c>
      <c r="L77" s="36" t="str">
        <f>IF(AND(Creditos!$C$7&lt;&gt;"",Creditos!$M$7="OK",12&lt;=Creditos!$H$7),I77+K77,"")</f>
        <v/>
      </c>
      <c r="M77" s="36" t="str">
        <f>IF(AND(Creditos!$C$7&lt;&gt;"",Creditos!$M$7="OK",12&lt;=Creditos!$H$7),MAX(0,F77-J77),"")</f>
        <v/>
      </c>
      <c r="N77" s="36" t="str">
        <f>IF(AND(Creditos!$C$7&lt;&gt;"",Creditos!$M$7="OK",12&lt;=Creditos!$H$7),SUMIFS(Pagos!$F$6:$F$305,Pagos!$C$6:$C$305,C77,Pagos!$D$6:$D$305,D77,Pagos!$E$6:$E$305,"&lt;="&amp;Supuestos!$D$6,Pagos!$H$6:$H$305,"OK"),"")</f>
        <v/>
      </c>
      <c r="O77" s="36" t="str">
        <f>IF(AND(Creditos!$C$7&lt;&gt;"",Creditos!$M$7="OK",12&lt;=Creditos!$H$7),MIN(J77,MAX(0,N77-K77-H77)),"")</f>
        <v/>
      </c>
      <c r="P77" s="36" t="str">
        <f>IF(AND(Creditos!$C$7&lt;&gt;"",Creditos!$M$7="OK",12&lt;=Creditos!$H$7),MAX(0,L77-N77),"")</f>
        <v/>
      </c>
      <c r="Q77" s="39" t="str">
        <f>IF(AND(Creditos!$C$7&lt;&gt;"",Creditos!$M$7="OK",12&lt;=Creditos!$H$7),IF(AND(E77&lt;Supuestos!$D$6,P77&gt;0.005),Supuestos!$D$6-E77,0),"")</f>
        <v/>
      </c>
      <c r="R77" s="36" t="str">
        <f>IF(AND(Creditos!$C$7&lt;&gt;"",Creditos!$M$7="OK",12&lt;=Creditos!$H$7),MAX(0,N77-L77),"")</f>
        <v/>
      </c>
      <c r="S77" s="33" t="str">
        <f>IF(AND(Creditos!$C$7&lt;&gt;"",Creditos!$M$7="OK",12&lt;=Creditos!$H$7),IF(R77&gt;0.005,"Exceso sin imputar",IF(P77&lt;=0.005,"Pagada",IF(E77&lt;Supuestos!$D$6,"Vencida",IF(E77=Supuestos!$D$6,"Vence hoy","Por vencer")))),"")</f>
        <v/>
      </c>
      <c r="T77" s="33">
        <f>IF(AND(Creditos!$C$7&lt;&gt;"",Creditos!$M$7="OK",12&lt;=Creditos!$H$7),IF(P77&gt;0.005,E77,999999),999999)</f>
        <v>999999</v>
      </c>
      <c r="U77" s="1"/>
      <c r="V77" s="1"/>
    </row>
    <row r="78" ht="25.5" customHeight="1">
      <c r="A78" s="1"/>
      <c r="B78" s="1"/>
      <c r="C78" s="33" t="str">
        <f>IF(AND(Creditos!$C$7&lt;&gt;"",Creditos!$M$7="OK",13&lt;=Creditos!$H$7),Creditos!$C$7,"")</f>
        <v/>
      </c>
      <c r="D78" s="33" t="str">
        <f>IF(AND(Creditos!$C$7&lt;&gt;"",Creditos!$M$7="OK",13&lt;=Creditos!$H$7),13,"")</f>
        <v/>
      </c>
      <c r="E78" s="35" t="str">
        <f>IF(AND(Creditos!$C$7&lt;&gt;"",Creditos!$M$7="OK",13&lt;=Creditos!$H$7),EDATE(Creditos!$I$7,12),"")</f>
        <v/>
      </c>
      <c r="F78" s="36" t="str">
        <f>IF(AND(Creditos!$C$7&lt;&gt;"",Creditos!$M$7="OK",13&lt;=Creditos!$H$7),M77,"")</f>
        <v/>
      </c>
      <c r="G78" s="37" t="str">
        <f>IF(AND(Creditos!$C$7&lt;&gt;"",Creditos!$M$7="OK",13&lt;=Creditos!$H$7),Creditos!$N$7,"")</f>
        <v/>
      </c>
      <c r="H78" s="36" t="str">
        <f>IF(AND(Creditos!$C$7&lt;&gt;"",Creditos!$M$7="OK",13&lt;=Creditos!$H$7),ROUND(F78*G78,2),"")</f>
        <v/>
      </c>
      <c r="I78" s="36" t="str">
        <f>IF(AND(Creditos!$C$7&lt;&gt;"",Creditos!$M$7="OK",13&lt;=Creditos!$H$7),IF(13=Creditos!$H$7,F78+H78,MIN(Creditos!$O$7,F78+H78)),"")</f>
        <v/>
      </c>
      <c r="J78" s="36" t="str">
        <f>IF(AND(Creditos!$C$7&lt;&gt;"",Creditos!$M$7="OK",13&lt;=Creditos!$H$7),MIN(F78,MAX(0,I78-H78)),"")</f>
        <v/>
      </c>
      <c r="K78" s="36" t="str">
        <f>IF(AND(Creditos!$C$7&lt;&gt;"",Creditos!$M$7="OK",13&lt;=Creditos!$H$7),Creditos!$J$7+Creditos!$K$7,"")</f>
        <v/>
      </c>
      <c r="L78" s="36" t="str">
        <f>IF(AND(Creditos!$C$7&lt;&gt;"",Creditos!$M$7="OK",13&lt;=Creditos!$H$7),I78+K78,"")</f>
        <v/>
      </c>
      <c r="M78" s="36" t="str">
        <f>IF(AND(Creditos!$C$7&lt;&gt;"",Creditos!$M$7="OK",13&lt;=Creditos!$H$7),MAX(0,F78-J78),"")</f>
        <v/>
      </c>
      <c r="N78" s="36" t="str">
        <f>IF(AND(Creditos!$C$7&lt;&gt;"",Creditos!$M$7="OK",13&lt;=Creditos!$H$7),SUMIFS(Pagos!$F$6:$F$305,Pagos!$C$6:$C$305,C78,Pagos!$D$6:$D$305,D78,Pagos!$E$6:$E$305,"&lt;="&amp;Supuestos!$D$6,Pagos!$H$6:$H$305,"OK"),"")</f>
        <v/>
      </c>
      <c r="O78" s="36" t="str">
        <f>IF(AND(Creditos!$C$7&lt;&gt;"",Creditos!$M$7="OK",13&lt;=Creditos!$H$7),MIN(J78,MAX(0,N78-K78-H78)),"")</f>
        <v/>
      </c>
      <c r="P78" s="36" t="str">
        <f>IF(AND(Creditos!$C$7&lt;&gt;"",Creditos!$M$7="OK",13&lt;=Creditos!$H$7),MAX(0,L78-N78),"")</f>
        <v/>
      </c>
      <c r="Q78" s="39" t="str">
        <f>IF(AND(Creditos!$C$7&lt;&gt;"",Creditos!$M$7="OK",13&lt;=Creditos!$H$7),IF(AND(E78&lt;Supuestos!$D$6,P78&gt;0.005),Supuestos!$D$6-E78,0),"")</f>
        <v/>
      </c>
      <c r="R78" s="36" t="str">
        <f>IF(AND(Creditos!$C$7&lt;&gt;"",Creditos!$M$7="OK",13&lt;=Creditos!$H$7),MAX(0,N78-L78),"")</f>
        <v/>
      </c>
      <c r="S78" s="33" t="str">
        <f>IF(AND(Creditos!$C$7&lt;&gt;"",Creditos!$M$7="OK",13&lt;=Creditos!$H$7),IF(R78&gt;0.005,"Exceso sin imputar",IF(P78&lt;=0.005,"Pagada",IF(E78&lt;Supuestos!$D$6,"Vencida",IF(E78=Supuestos!$D$6,"Vence hoy","Por vencer")))),"")</f>
        <v/>
      </c>
      <c r="T78" s="33">
        <f>IF(AND(Creditos!$C$7&lt;&gt;"",Creditos!$M$7="OK",13&lt;=Creditos!$H$7),IF(P78&gt;0.005,E78,999999),999999)</f>
        <v>999999</v>
      </c>
      <c r="U78" s="1"/>
      <c r="V78" s="1"/>
    </row>
    <row r="79" ht="25.5" customHeight="1">
      <c r="A79" s="1"/>
      <c r="B79" s="1"/>
      <c r="C79" s="33" t="str">
        <f>IF(AND(Creditos!$C$7&lt;&gt;"",Creditos!$M$7="OK",14&lt;=Creditos!$H$7),Creditos!$C$7,"")</f>
        <v/>
      </c>
      <c r="D79" s="33" t="str">
        <f>IF(AND(Creditos!$C$7&lt;&gt;"",Creditos!$M$7="OK",14&lt;=Creditos!$H$7),14,"")</f>
        <v/>
      </c>
      <c r="E79" s="35" t="str">
        <f>IF(AND(Creditos!$C$7&lt;&gt;"",Creditos!$M$7="OK",14&lt;=Creditos!$H$7),EDATE(Creditos!$I$7,13),"")</f>
        <v/>
      </c>
      <c r="F79" s="36" t="str">
        <f>IF(AND(Creditos!$C$7&lt;&gt;"",Creditos!$M$7="OK",14&lt;=Creditos!$H$7),M78,"")</f>
        <v/>
      </c>
      <c r="G79" s="37" t="str">
        <f>IF(AND(Creditos!$C$7&lt;&gt;"",Creditos!$M$7="OK",14&lt;=Creditos!$H$7),Creditos!$N$7,"")</f>
        <v/>
      </c>
      <c r="H79" s="36" t="str">
        <f>IF(AND(Creditos!$C$7&lt;&gt;"",Creditos!$M$7="OK",14&lt;=Creditos!$H$7),ROUND(F79*G79,2),"")</f>
        <v/>
      </c>
      <c r="I79" s="36" t="str">
        <f>IF(AND(Creditos!$C$7&lt;&gt;"",Creditos!$M$7="OK",14&lt;=Creditos!$H$7),IF(14=Creditos!$H$7,F79+H79,MIN(Creditos!$O$7,F79+H79)),"")</f>
        <v/>
      </c>
      <c r="J79" s="36" t="str">
        <f>IF(AND(Creditos!$C$7&lt;&gt;"",Creditos!$M$7="OK",14&lt;=Creditos!$H$7),MIN(F79,MAX(0,I79-H79)),"")</f>
        <v/>
      </c>
      <c r="K79" s="36" t="str">
        <f>IF(AND(Creditos!$C$7&lt;&gt;"",Creditos!$M$7="OK",14&lt;=Creditos!$H$7),Creditos!$J$7+Creditos!$K$7,"")</f>
        <v/>
      </c>
      <c r="L79" s="36" t="str">
        <f>IF(AND(Creditos!$C$7&lt;&gt;"",Creditos!$M$7="OK",14&lt;=Creditos!$H$7),I79+K79,"")</f>
        <v/>
      </c>
      <c r="M79" s="36" t="str">
        <f>IF(AND(Creditos!$C$7&lt;&gt;"",Creditos!$M$7="OK",14&lt;=Creditos!$H$7),MAX(0,F79-J79),"")</f>
        <v/>
      </c>
      <c r="N79" s="36" t="str">
        <f>IF(AND(Creditos!$C$7&lt;&gt;"",Creditos!$M$7="OK",14&lt;=Creditos!$H$7),SUMIFS(Pagos!$F$6:$F$305,Pagos!$C$6:$C$305,C79,Pagos!$D$6:$D$305,D79,Pagos!$E$6:$E$305,"&lt;="&amp;Supuestos!$D$6,Pagos!$H$6:$H$305,"OK"),"")</f>
        <v/>
      </c>
      <c r="O79" s="36" t="str">
        <f>IF(AND(Creditos!$C$7&lt;&gt;"",Creditos!$M$7="OK",14&lt;=Creditos!$H$7),MIN(J79,MAX(0,N79-K79-H79)),"")</f>
        <v/>
      </c>
      <c r="P79" s="36" t="str">
        <f>IF(AND(Creditos!$C$7&lt;&gt;"",Creditos!$M$7="OK",14&lt;=Creditos!$H$7),MAX(0,L79-N79),"")</f>
        <v/>
      </c>
      <c r="Q79" s="39" t="str">
        <f>IF(AND(Creditos!$C$7&lt;&gt;"",Creditos!$M$7="OK",14&lt;=Creditos!$H$7),IF(AND(E79&lt;Supuestos!$D$6,P79&gt;0.005),Supuestos!$D$6-E79,0),"")</f>
        <v/>
      </c>
      <c r="R79" s="36" t="str">
        <f>IF(AND(Creditos!$C$7&lt;&gt;"",Creditos!$M$7="OK",14&lt;=Creditos!$H$7),MAX(0,N79-L79),"")</f>
        <v/>
      </c>
      <c r="S79" s="33" t="str">
        <f>IF(AND(Creditos!$C$7&lt;&gt;"",Creditos!$M$7="OK",14&lt;=Creditos!$H$7),IF(R79&gt;0.005,"Exceso sin imputar",IF(P79&lt;=0.005,"Pagada",IF(E79&lt;Supuestos!$D$6,"Vencida",IF(E79=Supuestos!$D$6,"Vence hoy","Por vencer")))),"")</f>
        <v/>
      </c>
      <c r="T79" s="33">
        <f>IF(AND(Creditos!$C$7&lt;&gt;"",Creditos!$M$7="OK",14&lt;=Creditos!$H$7),IF(P79&gt;0.005,E79,999999),999999)</f>
        <v>999999</v>
      </c>
      <c r="U79" s="1"/>
      <c r="V79" s="1"/>
    </row>
    <row r="80" ht="25.5" customHeight="1">
      <c r="A80" s="1"/>
      <c r="B80" s="1"/>
      <c r="C80" s="33" t="str">
        <f>IF(AND(Creditos!$C$7&lt;&gt;"",Creditos!$M$7="OK",15&lt;=Creditos!$H$7),Creditos!$C$7,"")</f>
        <v/>
      </c>
      <c r="D80" s="33" t="str">
        <f>IF(AND(Creditos!$C$7&lt;&gt;"",Creditos!$M$7="OK",15&lt;=Creditos!$H$7),15,"")</f>
        <v/>
      </c>
      <c r="E80" s="35" t="str">
        <f>IF(AND(Creditos!$C$7&lt;&gt;"",Creditos!$M$7="OK",15&lt;=Creditos!$H$7),EDATE(Creditos!$I$7,14),"")</f>
        <v/>
      </c>
      <c r="F80" s="36" t="str">
        <f>IF(AND(Creditos!$C$7&lt;&gt;"",Creditos!$M$7="OK",15&lt;=Creditos!$H$7),M79,"")</f>
        <v/>
      </c>
      <c r="G80" s="37" t="str">
        <f>IF(AND(Creditos!$C$7&lt;&gt;"",Creditos!$M$7="OK",15&lt;=Creditos!$H$7),Creditos!$N$7,"")</f>
        <v/>
      </c>
      <c r="H80" s="36" t="str">
        <f>IF(AND(Creditos!$C$7&lt;&gt;"",Creditos!$M$7="OK",15&lt;=Creditos!$H$7),ROUND(F80*G80,2),"")</f>
        <v/>
      </c>
      <c r="I80" s="36" t="str">
        <f>IF(AND(Creditos!$C$7&lt;&gt;"",Creditos!$M$7="OK",15&lt;=Creditos!$H$7),IF(15=Creditos!$H$7,F80+H80,MIN(Creditos!$O$7,F80+H80)),"")</f>
        <v/>
      </c>
      <c r="J80" s="36" t="str">
        <f>IF(AND(Creditos!$C$7&lt;&gt;"",Creditos!$M$7="OK",15&lt;=Creditos!$H$7),MIN(F80,MAX(0,I80-H80)),"")</f>
        <v/>
      </c>
      <c r="K80" s="36" t="str">
        <f>IF(AND(Creditos!$C$7&lt;&gt;"",Creditos!$M$7="OK",15&lt;=Creditos!$H$7),Creditos!$J$7+Creditos!$K$7,"")</f>
        <v/>
      </c>
      <c r="L80" s="36" t="str">
        <f>IF(AND(Creditos!$C$7&lt;&gt;"",Creditos!$M$7="OK",15&lt;=Creditos!$H$7),I80+K80,"")</f>
        <v/>
      </c>
      <c r="M80" s="36" t="str">
        <f>IF(AND(Creditos!$C$7&lt;&gt;"",Creditos!$M$7="OK",15&lt;=Creditos!$H$7),MAX(0,F80-J80),"")</f>
        <v/>
      </c>
      <c r="N80" s="36" t="str">
        <f>IF(AND(Creditos!$C$7&lt;&gt;"",Creditos!$M$7="OK",15&lt;=Creditos!$H$7),SUMIFS(Pagos!$F$6:$F$305,Pagos!$C$6:$C$305,C80,Pagos!$D$6:$D$305,D80,Pagos!$E$6:$E$305,"&lt;="&amp;Supuestos!$D$6,Pagos!$H$6:$H$305,"OK"),"")</f>
        <v/>
      </c>
      <c r="O80" s="36" t="str">
        <f>IF(AND(Creditos!$C$7&lt;&gt;"",Creditos!$M$7="OK",15&lt;=Creditos!$H$7),MIN(J80,MAX(0,N80-K80-H80)),"")</f>
        <v/>
      </c>
      <c r="P80" s="36" t="str">
        <f>IF(AND(Creditos!$C$7&lt;&gt;"",Creditos!$M$7="OK",15&lt;=Creditos!$H$7),MAX(0,L80-N80),"")</f>
        <v/>
      </c>
      <c r="Q80" s="39" t="str">
        <f>IF(AND(Creditos!$C$7&lt;&gt;"",Creditos!$M$7="OK",15&lt;=Creditos!$H$7),IF(AND(E80&lt;Supuestos!$D$6,P80&gt;0.005),Supuestos!$D$6-E80,0),"")</f>
        <v/>
      </c>
      <c r="R80" s="36" t="str">
        <f>IF(AND(Creditos!$C$7&lt;&gt;"",Creditos!$M$7="OK",15&lt;=Creditos!$H$7),MAX(0,N80-L80),"")</f>
        <v/>
      </c>
      <c r="S80" s="33" t="str">
        <f>IF(AND(Creditos!$C$7&lt;&gt;"",Creditos!$M$7="OK",15&lt;=Creditos!$H$7),IF(R80&gt;0.005,"Exceso sin imputar",IF(P80&lt;=0.005,"Pagada",IF(E80&lt;Supuestos!$D$6,"Vencida",IF(E80=Supuestos!$D$6,"Vence hoy","Por vencer")))),"")</f>
        <v/>
      </c>
      <c r="T80" s="33">
        <f>IF(AND(Creditos!$C$7&lt;&gt;"",Creditos!$M$7="OK",15&lt;=Creditos!$H$7),IF(P80&gt;0.005,E80,999999),999999)</f>
        <v>999999</v>
      </c>
      <c r="U80" s="1"/>
      <c r="V80" s="1"/>
    </row>
    <row r="81" ht="25.5" customHeight="1">
      <c r="C81" s="46" t="str">
        <f>IF(AND(Creditos!$C$7&lt;&gt;"",Creditos!$M$7="OK",16&lt;=Creditos!$H$7),Creditos!$C$7,"")</f>
        <v/>
      </c>
      <c r="D81" s="46" t="str">
        <f>IF(AND(Creditos!$C$7&lt;&gt;"",Creditos!$M$7="OK",16&lt;=Creditos!$H$7),16,"")</f>
        <v/>
      </c>
      <c r="E81" s="47" t="str">
        <f>IF(AND(Creditos!$C$7&lt;&gt;"",Creditos!$M$7="OK",16&lt;=Creditos!$H$7),EDATE(Creditos!$I$7,15),"")</f>
        <v/>
      </c>
      <c r="F81" s="48" t="str">
        <f>IF(AND(Creditos!$C$7&lt;&gt;"",Creditos!$M$7="OK",16&lt;=Creditos!$H$7),M80,"")</f>
        <v/>
      </c>
      <c r="G81" s="49" t="str">
        <f>IF(AND(Creditos!$C$7&lt;&gt;"",Creditos!$M$7="OK",16&lt;=Creditos!$H$7),Creditos!$N$7,"")</f>
        <v/>
      </c>
      <c r="H81" s="48" t="str">
        <f>IF(AND(Creditos!$C$7&lt;&gt;"",Creditos!$M$7="OK",16&lt;=Creditos!$H$7),ROUND(F81*G81,2),"")</f>
        <v/>
      </c>
      <c r="I81" s="48" t="str">
        <f>IF(AND(Creditos!$C$7&lt;&gt;"",Creditos!$M$7="OK",16&lt;=Creditos!$H$7),IF(16=Creditos!$H$7,F81+H81,MIN(Creditos!$O$7,F81+H81)),"")</f>
        <v/>
      </c>
      <c r="J81" s="48" t="str">
        <f>IF(AND(Creditos!$C$7&lt;&gt;"",Creditos!$M$7="OK",16&lt;=Creditos!$H$7),MIN(F81,MAX(0,I81-H81)),"")</f>
        <v/>
      </c>
      <c r="K81" s="48" t="str">
        <f>IF(AND(Creditos!$C$7&lt;&gt;"",Creditos!$M$7="OK",16&lt;=Creditos!$H$7),Creditos!$J$7+Creditos!$K$7,"")</f>
        <v/>
      </c>
      <c r="L81" s="48" t="str">
        <f>IF(AND(Creditos!$C$7&lt;&gt;"",Creditos!$M$7="OK",16&lt;=Creditos!$H$7),I81+K81,"")</f>
        <v/>
      </c>
      <c r="M81" s="48" t="str">
        <f>IF(AND(Creditos!$C$7&lt;&gt;"",Creditos!$M$7="OK",16&lt;=Creditos!$H$7),MAX(0,F81-J81),"")</f>
        <v/>
      </c>
      <c r="N81" s="48" t="str">
        <f>IF(AND(Creditos!$C$7&lt;&gt;"",Creditos!$M$7="OK",16&lt;=Creditos!$H$7),SUMIFS(Pagos!$F$6:$F$305,Pagos!$C$6:$C$305,C81,Pagos!$D$6:$D$305,D81,Pagos!$E$6:$E$305,"&lt;="&amp;Supuestos!$D$6,Pagos!$H$6:$H$305,"OK"),"")</f>
        <v/>
      </c>
      <c r="O81" s="48" t="str">
        <f>IF(AND(Creditos!$C$7&lt;&gt;"",Creditos!$M$7="OK",16&lt;=Creditos!$H$7),MIN(J81,MAX(0,N81-K81-H81)),"")</f>
        <v/>
      </c>
      <c r="P81" s="48" t="str">
        <f>IF(AND(Creditos!$C$7&lt;&gt;"",Creditos!$M$7="OK",16&lt;=Creditos!$H$7),MAX(0,L81-N81),"")</f>
        <v/>
      </c>
      <c r="Q81" s="50" t="str">
        <f>IF(AND(Creditos!$C$7&lt;&gt;"",Creditos!$M$7="OK",16&lt;=Creditos!$H$7),IF(AND(E81&lt;Supuestos!$D$6,P81&gt;0.005),Supuestos!$D$6-E81,0),"")</f>
        <v/>
      </c>
      <c r="R81" s="48" t="str">
        <f>IF(AND(Creditos!$C$7&lt;&gt;"",Creditos!$M$7="OK",16&lt;=Creditos!$H$7),MAX(0,N81-L81),"")</f>
        <v/>
      </c>
      <c r="S81" s="46" t="str">
        <f>IF(AND(Creditos!$C$7&lt;&gt;"",Creditos!$M$7="OK",16&lt;=Creditos!$H$7),IF(R81&gt;0.005,"Exceso sin imputar",IF(P81&lt;=0.005,"Pagada",IF(E81&lt;Supuestos!$D$6,"Vencida",IF(E81=Supuestos!$D$6,"Vence hoy","Por vencer")))),"")</f>
        <v/>
      </c>
      <c r="T81" s="46">
        <f>IF(AND(Creditos!$C$7&lt;&gt;"",Creditos!$M$7="OK",16&lt;=Creditos!$H$7),IF(P81&gt;0.005,E81,999999),999999)</f>
        <v>999999</v>
      </c>
    </row>
    <row r="82" ht="25.5" customHeight="1">
      <c r="C82" s="46" t="str">
        <f>IF(AND(Creditos!$C$7&lt;&gt;"",Creditos!$M$7="OK",17&lt;=Creditos!$H$7),Creditos!$C$7,"")</f>
        <v/>
      </c>
      <c r="D82" s="46" t="str">
        <f>IF(AND(Creditos!$C$7&lt;&gt;"",Creditos!$M$7="OK",17&lt;=Creditos!$H$7),17,"")</f>
        <v/>
      </c>
      <c r="E82" s="47" t="str">
        <f>IF(AND(Creditos!$C$7&lt;&gt;"",Creditos!$M$7="OK",17&lt;=Creditos!$H$7),EDATE(Creditos!$I$7,16),"")</f>
        <v/>
      </c>
      <c r="F82" s="48" t="str">
        <f>IF(AND(Creditos!$C$7&lt;&gt;"",Creditos!$M$7="OK",17&lt;=Creditos!$H$7),M81,"")</f>
        <v/>
      </c>
      <c r="G82" s="49" t="str">
        <f>IF(AND(Creditos!$C$7&lt;&gt;"",Creditos!$M$7="OK",17&lt;=Creditos!$H$7),Creditos!$N$7,"")</f>
        <v/>
      </c>
      <c r="H82" s="48" t="str">
        <f>IF(AND(Creditos!$C$7&lt;&gt;"",Creditos!$M$7="OK",17&lt;=Creditos!$H$7),ROUND(F82*G82,2),"")</f>
        <v/>
      </c>
      <c r="I82" s="48" t="str">
        <f>IF(AND(Creditos!$C$7&lt;&gt;"",Creditos!$M$7="OK",17&lt;=Creditos!$H$7),IF(17=Creditos!$H$7,F82+H82,MIN(Creditos!$O$7,F82+H82)),"")</f>
        <v/>
      </c>
      <c r="J82" s="48" t="str">
        <f>IF(AND(Creditos!$C$7&lt;&gt;"",Creditos!$M$7="OK",17&lt;=Creditos!$H$7),MIN(F82,MAX(0,I82-H82)),"")</f>
        <v/>
      </c>
      <c r="K82" s="48" t="str">
        <f>IF(AND(Creditos!$C$7&lt;&gt;"",Creditos!$M$7="OK",17&lt;=Creditos!$H$7),Creditos!$J$7+Creditos!$K$7,"")</f>
        <v/>
      </c>
      <c r="L82" s="48" t="str">
        <f>IF(AND(Creditos!$C$7&lt;&gt;"",Creditos!$M$7="OK",17&lt;=Creditos!$H$7),I82+K82,"")</f>
        <v/>
      </c>
      <c r="M82" s="48" t="str">
        <f>IF(AND(Creditos!$C$7&lt;&gt;"",Creditos!$M$7="OK",17&lt;=Creditos!$H$7),MAX(0,F82-J82),"")</f>
        <v/>
      </c>
      <c r="N82" s="48" t="str">
        <f>IF(AND(Creditos!$C$7&lt;&gt;"",Creditos!$M$7="OK",17&lt;=Creditos!$H$7),SUMIFS(Pagos!$F$6:$F$305,Pagos!$C$6:$C$305,C82,Pagos!$D$6:$D$305,D82,Pagos!$E$6:$E$305,"&lt;="&amp;Supuestos!$D$6,Pagos!$H$6:$H$305,"OK"),"")</f>
        <v/>
      </c>
      <c r="O82" s="48" t="str">
        <f>IF(AND(Creditos!$C$7&lt;&gt;"",Creditos!$M$7="OK",17&lt;=Creditos!$H$7),MIN(J82,MAX(0,N82-K82-H82)),"")</f>
        <v/>
      </c>
      <c r="P82" s="48" t="str">
        <f>IF(AND(Creditos!$C$7&lt;&gt;"",Creditos!$M$7="OK",17&lt;=Creditos!$H$7),MAX(0,L82-N82),"")</f>
        <v/>
      </c>
      <c r="Q82" s="50" t="str">
        <f>IF(AND(Creditos!$C$7&lt;&gt;"",Creditos!$M$7="OK",17&lt;=Creditos!$H$7),IF(AND(E82&lt;Supuestos!$D$6,P82&gt;0.005),Supuestos!$D$6-E82,0),"")</f>
        <v/>
      </c>
      <c r="R82" s="48" t="str">
        <f>IF(AND(Creditos!$C$7&lt;&gt;"",Creditos!$M$7="OK",17&lt;=Creditos!$H$7),MAX(0,N82-L82),"")</f>
        <v/>
      </c>
      <c r="S82" s="46" t="str">
        <f>IF(AND(Creditos!$C$7&lt;&gt;"",Creditos!$M$7="OK",17&lt;=Creditos!$H$7),IF(R82&gt;0.005,"Exceso sin imputar",IF(P82&lt;=0.005,"Pagada",IF(E82&lt;Supuestos!$D$6,"Vencida",IF(E82=Supuestos!$D$6,"Vence hoy","Por vencer")))),"")</f>
        <v/>
      </c>
      <c r="T82" s="46">
        <f>IF(AND(Creditos!$C$7&lt;&gt;"",Creditos!$M$7="OK",17&lt;=Creditos!$H$7),IF(P82&gt;0.005,E82,999999),999999)</f>
        <v>999999</v>
      </c>
    </row>
    <row r="83" ht="25.5" customHeight="1">
      <c r="C83" s="46" t="str">
        <f>IF(AND(Creditos!$C$7&lt;&gt;"",Creditos!$M$7="OK",18&lt;=Creditos!$H$7),Creditos!$C$7,"")</f>
        <v/>
      </c>
      <c r="D83" s="46" t="str">
        <f>IF(AND(Creditos!$C$7&lt;&gt;"",Creditos!$M$7="OK",18&lt;=Creditos!$H$7),18,"")</f>
        <v/>
      </c>
      <c r="E83" s="47" t="str">
        <f>IF(AND(Creditos!$C$7&lt;&gt;"",Creditos!$M$7="OK",18&lt;=Creditos!$H$7),EDATE(Creditos!$I$7,17),"")</f>
        <v/>
      </c>
      <c r="F83" s="48" t="str">
        <f>IF(AND(Creditos!$C$7&lt;&gt;"",Creditos!$M$7="OK",18&lt;=Creditos!$H$7),M82,"")</f>
        <v/>
      </c>
      <c r="G83" s="49" t="str">
        <f>IF(AND(Creditos!$C$7&lt;&gt;"",Creditos!$M$7="OK",18&lt;=Creditos!$H$7),Creditos!$N$7,"")</f>
        <v/>
      </c>
      <c r="H83" s="48" t="str">
        <f>IF(AND(Creditos!$C$7&lt;&gt;"",Creditos!$M$7="OK",18&lt;=Creditos!$H$7),ROUND(F83*G83,2),"")</f>
        <v/>
      </c>
      <c r="I83" s="48" t="str">
        <f>IF(AND(Creditos!$C$7&lt;&gt;"",Creditos!$M$7="OK",18&lt;=Creditos!$H$7),IF(18=Creditos!$H$7,F83+H83,MIN(Creditos!$O$7,F83+H83)),"")</f>
        <v/>
      </c>
      <c r="J83" s="48" t="str">
        <f>IF(AND(Creditos!$C$7&lt;&gt;"",Creditos!$M$7="OK",18&lt;=Creditos!$H$7),MIN(F83,MAX(0,I83-H83)),"")</f>
        <v/>
      </c>
      <c r="K83" s="48" t="str">
        <f>IF(AND(Creditos!$C$7&lt;&gt;"",Creditos!$M$7="OK",18&lt;=Creditos!$H$7),Creditos!$J$7+Creditos!$K$7,"")</f>
        <v/>
      </c>
      <c r="L83" s="48" t="str">
        <f>IF(AND(Creditos!$C$7&lt;&gt;"",Creditos!$M$7="OK",18&lt;=Creditos!$H$7),I83+K83,"")</f>
        <v/>
      </c>
      <c r="M83" s="48" t="str">
        <f>IF(AND(Creditos!$C$7&lt;&gt;"",Creditos!$M$7="OK",18&lt;=Creditos!$H$7),MAX(0,F83-J83),"")</f>
        <v/>
      </c>
      <c r="N83" s="48" t="str">
        <f>IF(AND(Creditos!$C$7&lt;&gt;"",Creditos!$M$7="OK",18&lt;=Creditos!$H$7),SUMIFS(Pagos!$F$6:$F$305,Pagos!$C$6:$C$305,C83,Pagos!$D$6:$D$305,D83,Pagos!$E$6:$E$305,"&lt;="&amp;Supuestos!$D$6,Pagos!$H$6:$H$305,"OK"),"")</f>
        <v/>
      </c>
      <c r="O83" s="48" t="str">
        <f>IF(AND(Creditos!$C$7&lt;&gt;"",Creditos!$M$7="OK",18&lt;=Creditos!$H$7),MIN(J83,MAX(0,N83-K83-H83)),"")</f>
        <v/>
      </c>
      <c r="P83" s="48" t="str">
        <f>IF(AND(Creditos!$C$7&lt;&gt;"",Creditos!$M$7="OK",18&lt;=Creditos!$H$7),MAX(0,L83-N83),"")</f>
        <v/>
      </c>
      <c r="Q83" s="50" t="str">
        <f>IF(AND(Creditos!$C$7&lt;&gt;"",Creditos!$M$7="OK",18&lt;=Creditos!$H$7),IF(AND(E83&lt;Supuestos!$D$6,P83&gt;0.005),Supuestos!$D$6-E83,0),"")</f>
        <v/>
      </c>
      <c r="R83" s="48" t="str">
        <f>IF(AND(Creditos!$C$7&lt;&gt;"",Creditos!$M$7="OK",18&lt;=Creditos!$H$7),MAX(0,N83-L83),"")</f>
        <v/>
      </c>
      <c r="S83" s="46" t="str">
        <f>IF(AND(Creditos!$C$7&lt;&gt;"",Creditos!$M$7="OK",18&lt;=Creditos!$H$7),IF(R83&gt;0.005,"Exceso sin imputar",IF(P83&lt;=0.005,"Pagada",IF(E83&lt;Supuestos!$D$6,"Vencida",IF(E83=Supuestos!$D$6,"Vence hoy","Por vencer")))),"")</f>
        <v/>
      </c>
      <c r="T83" s="46">
        <f>IF(AND(Creditos!$C$7&lt;&gt;"",Creditos!$M$7="OK",18&lt;=Creditos!$H$7),IF(P83&gt;0.005,E83,999999),999999)</f>
        <v>999999</v>
      </c>
    </row>
    <row r="84" ht="25.5" customHeight="1">
      <c r="C84" s="46" t="str">
        <f>IF(AND(Creditos!$C$7&lt;&gt;"",Creditos!$M$7="OK",19&lt;=Creditos!$H$7),Creditos!$C$7,"")</f>
        <v/>
      </c>
      <c r="D84" s="46" t="str">
        <f>IF(AND(Creditos!$C$7&lt;&gt;"",Creditos!$M$7="OK",19&lt;=Creditos!$H$7),19,"")</f>
        <v/>
      </c>
      <c r="E84" s="47" t="str">
        <f>IF(AND(Creditos!$C$7&lt;&gt;"",Creditos!$M$7="OK",19&lt;=Creditos!$H$7),EDATE(Creditos!$I$7,18),"")</f>
        <v/>
      </c>
      <c r="F84" s="48" t="str">
        <f>IF(AND(Creditos!$C$7&lt;&gt;"",Creditos!$M$7="OK",19&lt;=Creditos!$H$7),M83,"")</f>
        <v/>
      </c>
      <c r="G84" s="49" t="str">
        <f>IF(AND(Creditos!$C$7&lt;&gt;"",Creditos!$M$7="OK",19&lt;=Creditos!$H$7),Creditos!$N$7,"")</f>
        <v/>
      </c>
      <c r="H84" s="48" t="str">
        <f>IF(AND(Creditos!$C$7&lt;&gt;"",Creditos!$M$7="OK",19&lt;=Creditos!$H$7),ROUND(F84*G84,2),"")</f>
        <v/>
      </c>
      <c r="I84" s="48" t="str">
        <f>IF(AND(Creditos!$C$7&lt;&gt;"",Creditos!$M$7="OK",19&lt;=Creditos!$H$7),IF(19=Creditos!$H$7,F84+H84,MIN(Creditos!$O$7,F84+H84)),"")</f>
        <v/>
      </c>
      <c r="J84" s="48" t="str">
        <f>IF(AND(Creditos!$C$7&lt;&gt;"",Creditos!$M$7="OK",19&lt;=Creditos!$H$7),MIN(F84,MAX(0,I84-H84)),"")</f>
        <v/>
      </c>
      <c r="K84" s="48" t="str">
        <f>IF(AND(Creditos!$C$7&lt;&gt;"",Creditos!$M$7="OK",19&lt;=Creditos!$H$7),Creditos!$J$7+Creditos!$K$7,"")</f>
        <v/>
      </c>
      <c r="L84" s="48" t="str">
        <f>IF(AND(Creditos!$C$7&lt;&gt;"",Creditos!$M$7="OK",19&lt;=Creditos!$H$7),I84+K84,"")</f>
        <v/>
      </c>
      <c r="M84" s="48" t="str">
        <f>IF(AND(Creditos!$C$7&lt;&gt;"",Creditos!$M$7="OK",19&lt;=Creditos!$H$7),MAX(0,F84-J84),"")</f>
        <v/>
      </c>
      <c r="N84" s="48" t="str">
        <f>IF(AND(Creditos!$C$7&lt;&gt;"",Creditos!$M$7="OK",19&lt;=Creditos!$H$7),SUMIFS(Pagos!$F$6:$F$305,Pagos!$C$6:$C$305,C84,Pagos!$D$6:$D$305,D84,Pagos!$E$6:$E$305,"&lt;="&amp;Supuestos!$D$6,Pagos!$H$6:$H$305,"OK"),"")</f>
        <v/>
      </c>
      <c r="O84" s="48" t="str">
        <f>IF(AND(Creditos!$C$7&lt;&gt;"",Creditos!$M$7="OK",19&lt;=Creditos!$H$7),MIN(J84,MAX(0,N84-K84-H84)),"")</f>
        <v/>
      </c>
      <c r="P84" s="48" t="str">
        <f>IF(AND(Creditos!$C$7&lt;&gt;"",Creditos!$M$7="OK",19&lt;=Creditos!$H$7),MAX(0,L84-N84),"")</f>
        <v/>
      </c>
      <c r="Q84" s="50" t="str">
        <f>IF(AND(Creditos!$C$7&lt;&gt;"",Creditos!$M$7="OK",19&lt;=Creditos!$H$7),IF(AND(E84&lt;Supuestos!$D$6,P84&gt;0.005),Supuestos!$D$6-E84,0),"")</f>
        <v/>
      </c>
      <c r="R84" s="48" t="str">
        <f>IF(AND(Creditos!$C$7&lt;&gt;"",Creditos!$M$7="OK",19&lt;=Creditos!$H$7),MAX(0,N84-L84),"")</f>
        <v/>
      </c>
      <c r="S84" s="46" t="str">
        <f>IF(AND(Creditos!$C$7&lt;&gt;"",Creditos!$M$7="OK",19&lt;=Creditos!$H$7),IF(R84&gt;0.005,"Exceso sin imputar",IF(P84&lt;=0.005,"Pagada",IF(E84&lt;Supuestos!$D$6,"Vencida",IF(E84=Supuestos!$D$6,"Vence hoy","Por vencer")))),"")</f>
        <v/>
      </c>
      <c r="T84" s="46">
        <f>IF(AND(Creditos!$C$7&lt;&gt;"",Creditos!$M$7="OK",19&lt;=Creditos!$H$7),IF(P84&gt;0.005,E84,999999),999999)</f>
        <v>999999</v>
      </c>
    </row>
    <row r="85" ht="25.5" customHeight="1">
      <c r="C85" s="46" t="str">
        <f>IF(AND(Creditos!$C$7&lt;&gt;"",Creditos!$M$7="OK",20&lt;=Creditos!$H$7),Creditos!$C$7,"")</f>
        <v/>
      </c>
      <c r="D85" s="46" t="str">
        <f>IF(AND(Creditos!$C$7&lt;&gt;"",Creditos!$M$7="OK",20&lt;=Creditos!$H$7),20,"")</f>
        <v/>
      </c>
      <c r="E85" s="47" t="str">
        <f>IF(AND(Creditos!$C$7&lt;&gt;"",Creditos!$M$7="OK",20&lt;=Creditos!$H$7),EDATE(Creditos!$I$7,19),"")</f>
        <v/>
      </c>
      <c r="F85" s="48" t="str">
        <f>IF(AND(Creditos!$C$7&lt;&gt;"",Creditos!$M$7="OK",20&lt;=Creditos!$H$7),M84,"")</f>
        <v/>
      </c>
      <c r="G85" s="49" t="str">
        <f>IF(AND(Creditos!$C$7&lt;&gt;"",Creditos!$M$7="OK",20&lt;=Creditos!$H$7),Creditos!$N$7,"")</f>
        <v/>
      </c>
      <c r="H85" s="48" t="str">
        <f>IF(AND(Creditos!$C$7&lt;&gt;"",Creditos!$M$7="OK",20&lt;=Creditos!$H$7),ROUND(F85*G85,2),"")</f>
        <v/>
      </c>
      <c r="I85" s="48" t="str">
        <f>IF(AND(Creditos!$C$7&lt;&gt;"",Creditos!$M$7="OK",20&lt;=Creditos!$H$7),IF(20=Creditos!$H$7,F85+H85,MIN(Creditos!$O$7,F85+H85)),"")</f>
        <v/>
      </c>
      <c r="J85" s="48" t="str">
        <f>IF(AND(Creditos!$C$7&lt;&gt;"",Creditos!$M$7="OK",20&lt;=Creditos!$H$7),MIN(F85,MAX(0,I85-H85)),"")</f>
        <v/>
      </c>
      <c r="K85" s="48" t="str">
        <f>IF(AND(Creditos!$C$7&lt;&gt;"",Creditos!$M$7="OK",20&lt;=Creditos!$H$7),Creditos!$J$7+Creditos!$K$7,"")</f>
        <v/>
      </c>
      <c r="L85" s="48" t="str">
        <f>IF(AND(Creditos!$C$7&lt;&gt;"",Creditos!$M$7="OK",20&lt;=Creditos!$H$7),I85+K85,"")</f>
        <v/>
      </c>
      <c r="M85" s="48" t="str">
        <f>IF(AND(Creditos!$C$7&lt;&gt;"",Creditos!$M$7="OK",20&lt;=Creditos!$H$7),MAX(0,F85-J85),"")</f>
        <v/>
      </c>
      <c r="N85" s="48" t="str">
        <f>IF(AND(Creditos!$C$7&lt;&gt;"",Creditos!$M$7="OK",20&lt;=Creditos!$H$7),SUMIFS(Pagos!$F$6:$F$305,Pagos!$C$6:$C$305,C85,Pagos!$D$6:$D$305,D85,Pagos!$E$6:$E$305,"&lt;="&amp;Supuestos!$D$6,Pagos!$H$6:$H$305,"OK"),"")</f>
        <v/>
      </c>
      <c r="O85" s="48" t="str">
        <f>IF(AND(Creditos!$C$7&lt;&gt;"",Creditos!$M$7="OK",20&lt;=Creditos!$H$7),MIN(J85,MAX(0,N85-K85-H85)),"")</f>
        <v/>
      </c>
      <c r="P85" s="48" t="str">
        <f>IF(AND(Creditos!$C$7&lt;&gt;"",Creditos!$M$7="OK",20&lt;=Creditos!$H$7),MAX(0,L85-N85),"")</f>
        <v/>
      </c>
      <c r="Q85" s="50" t="str">
        <f>IF(AND(Creditos!$C$7&lt;&gt;"",Creditos!$M$7="OK",20&lt;=Creditos!$H$7),IF(AND(E85&lt;Supuestos!$D$6,P85&gt;0.005),Supuestos!$D$6-E85,0),"")</f>
        <v/>
      </c>
      <c r="R85" s="48" t="str">
        <f>IF(AND(Creditos!$C$7&lt;&gt;"",Creditos!$M$7="OK",20&lt;=Creditos!$H$7),MAX(0,N85-L85),"")</f>
        <v/>
      </c>
      <c r="S85" s="46" t="str">
        <f>IF(AND(Creditos!$C$7&lt;&gt;"",Creditos!$M$7="OK",20&lt;=Creditos!$H$7),IF(R85&gt;0.005,"Exceso sin imputar",IF(P85&lt;=0.005,"Pagada",IF(E85&lt;Supuestos!$D$6,"Vencida",IF(E85=Supuestos!$D$6,"Vence hoy","Por vencer")))),"")</f>
        <v/>
      </c>
      <c r="T85" s="46">
        <f>IF(AND(Creditos!$C$7&lt;&gt;"",Creditos!$M$7="OK",20&lt;=Creditos!$H$7),IF(P85&gt;0.005,E85,999999),999999)</f>
        <v>999999</v>
      </c>
    </row>
    <row r="86" ht="25.5" customHeight="1">
      <c r="C86" s="46" t="str">
        <f>IF(AND(Creditos!$C$7&lt;&gt;"",Creditos!$M$7="OK",21&lt;=Creditos!$H$7),Creditos!$C$7,"")</f>
        <v/>
      </c>
      <c r="D86" s="46" t="str">
        <f>IF(AND(Creditos!$C$7&lt;&gt;"",Creditos!$M$7="OK",21&lt;=Creditos!$H$7),21,"")</f>
        <v/>
      </c>
      <c r="E86" s="47" t="str">
        <f>IF(AND(Creditos!$C$7&lt;&gt;"",Creditos!$M$7="OK",21&lt;=Creditos!$H$7),EDATE(Creditos!$I$7,20),"")</f>
        <v/>
      </c>
      <c r="F86" s="48" t="str">
        <f>IF(AND(Creditos!$C$7&lt;&gt;"",Creditos!$M$7="OK",21&lt;=Creditos!$H$7),M85,"")</f>
        <v/>
      </c>
      <c r="G86" s="49" t="str">
        <f>IF(AND(Creditos!$C$7&lt;&gt;"",Creditos!$M$7="OK",21&lt;=Creditos!$H$7),Creditos!$N$7,"")</f>
        <v/>
      </c>
      <c r="H86" s="48" t="str">
        <f>IF(AND(Creditos!$C$7&lt;&gt;"",Creditos!$M$7="OK",21&lt;=Creditos!$H$7),ROUND(F86*G86,2),"")</f>
        <v/>
      </c>
      <c r="I86" s="48" t="str">
        <f>IF(AND(Creditos!$C$7&lt;&gt;"",Creditos!$M$7="OK",21&lt;=Creditos!$H$7),IF(21=Creditos!$H$7,F86+H86,MIN(Creditos!$O$7,F86+H86)),"")</f>
        <v/>
      </c>
      <c r="J86" s="48" t="str">
        <f>IF(AND(Creditos!$C$7&lt;&gt;"",Creditos!$M$7="OK",21&lt;=Creditos!$H$7),MIN(F86,MAX(0,I86-H86)),"")</f>
        <v/>
      </c>
      <c r="K86" s="48" t="str">
        <f>IF(AND(Creditos!$C$7&lt;&gt;"",Creditos!$M$7="OK",21&lt;=Creditos!$H$7),Creditos!$J$7+Creditos!$K$7,"")</f>
        <v/>
      </c>
      <c r="L86" s="48" t="str">
        <f>IF(AND(Creditos!$C$7&lt;&gt;"",Creditos!$M$7="OK",21&lt;=Creditos!$H$7),I86+K86,"")</f>
        <v/>
      </c>
      <c r="M86" s="48" t="str">
        <f>IF(AND(Creditos!$C$7&lt;&gt;"",Creditos!$M$7="OK",21&lt;=Creditos!$H$7),MAX(0,F86-J86),"")</f>
        <v/>
      </c>
      <c r="N86" s="48" t="str">
        <f>IF(AND(Creditos!$C$7&lt;&gt;"",Creditos!$M$7="OK",21&lt;=Creditos!$H$7),SUMIFS(Pagos!$F$6:$F$305,Pagos!$C$6:$C$305,C86,Pagos!$D$6:$D$305,D86,Pagos!$E$6:$E$305,"&lt;="&amp;Supuestos!$D$6,Pagos!$H$6:$H$305,"OK"),"")</f>
        <v/>
      </c>
      <c r="O86" s="48" t="str">
        <f>IF(AND(Creditos!$C$7&lt;&gt;"",Creditos!$M$7="OK",21&lt;=Creditos!$H$7),MIN(J86,MAX(0,N86-K86-H86)),"")</f>
        <v/>
      </c>
      <c r="P86" s="48" t="str">
        <f>IF(AND(Creditos!$C$7&lt;&gt;"",Creditos!$M$7="OK",21&lt;=Creditos!$H$7),MAX(0,L86-N86),"")</f>
        <v/>
      </c>
      <c r="Q86" s="50" t="str">
        <f>IF(AND(Creditos!$C$7&lt;&gt;"",Creditos!$M$7="OK",21&lt;=Creditos!$H$7),IF(AND(E86&lt;Supuestos!$D$6,P86&gt;0.005),Supuestos!$D$6-E86,0),"")</f>
        <v/>
      </c>
      <c r="R86" s="48" t="str">
        <f>IF(AND(Creditos!$C$7&lt;&gt;"",Creditos!$M$7="OK",21&lt;=Creditos!$H$7),MAX(0,N86-L86),"")</f>
        <v/>
      </c>
      <c r="S86" s="46" t="str">
        <f>IF(AND(Creditos!$C$7&lt;&gt;"",Creditos!$M$7="OK",21&lt;=Creditos!$H$7),IF(R86&gt;0.005,"Exceso sin imputar",IF(P86&lt;=0.005,"Pagada",IF(E86&lt;Supuestos!$D$6,"Vencida",IF(E86=Supuestos!$D$6,"Vence hoy","Por vencer")))),"")</f>
        <v/>
      </c>
      <c r="T86" s="46">
        <f>IF(AND(Creditos!$C$7&lt;&gt;"",Creditos!$M$7="OK",21&lt;=Creditos!$H$7),IF(P86&gt;0.005,E86,999999),999999)</f>
        <v>999999</v>
      </c>
    </row>
    <row r="87" ht="25.5" customHeight="1">
      <c r="C87" s="46" t="str">
        <f>IF(AND(Creditos!$C$7&lt;&gt;"",Creditos!$M$7="OK",22&lt;=Creditos!$H$7),Creditos!$C$7,"")</f>
        <v/>
      </c>
      <c r="D87" s="46" t="str">
        <f>IF(AND(Creditos!$C$7&lt;&gt;"",Creditos!$M$7="OK",22&lt;=Creditos!$H$7),22,"")</f>
        <v/>
      </c>
      <c r="E87" s="47" t="str">
        <f>IF(AND(Creditos!$C$7&lt;&gt;"",Creditos!$M$7="OK",22&lt;=Creditos!$H$7),EDATE(Creditos!$I$7,21),"")</f>
        <v/>
      </c>
      <c r="F87" s="48" t="str">
        <f>IF(AND(Creditos!$C$7&lt;&gt;"",Creditos!$M$7="OK",22&lt;=Creditos!$H$7),M86,"")</f>
        <v/>
      </c>
      <c r="G87" s="49" t="str">
        <f>IF(AND(Creditos!$C$7&lt;&gt;"",Creditos!$M$7="OK",22&lt;=Creditos!$H$7),Creditos!$N$7,"")</f>
        <v/>
      </c>
      <c r="H87" s="48" t="str">
        <f>IF(AND(Creditos!$C$7&lt;&gt;"",Creditos!$M$7="OK",22&lt;=Creditos!$H$7),ROUND(F87*G87,2),"")</f>
        <v/>
      </c>
      <c r="I87" s="48" t="str">
        <f>IF(AND(Creditos!$C$7&lt;&gt;"",Creditos!$M$7="OK",22&lt;=Creditos!$H$7),IF(22=Creditos!$H$7,F87+H87,MIN(Creditos!$O$7,F87+H87)),"")</f>
        <v/>
      </c>
      <c r="J87" s="48" t="str">
        <f>IF(AND(Creditos!$C$7&lt;&gt;"",Creditos!$M$7="OK",22&lt;=Creditos!$H$7),MIN(F87,MAX(0,I87-H87)),"")</f>
        <v/>
      </c>
      <c r="K87" s="48" t="str">
        <f>IF(AND(Creditos!$C$7&lt;&gt;"",Creditos!$M$7="OK",22&lt;=Creditos!$H$7),Creditos!$J$7+Creditos!$K$7,"")</f>
        <v/>
      </c>
      <c r="L87" s="48" t="str">
        <f>IF(AND(Creditos!$C$7&lt;&gt;"",Creditos!$M$7="OK",22&lt;=Creditos!$H$7),I87+K87,"")</f>
        <v/>
      </c>
      <c r="M87" s="48" t="str">
        <f>IF(AND(Creditos!$C$7&lt;&gt;"",Creditos!$M$7="OK",22&lt;=Creditos!$H$7),MAX(0,F87-J87),"")</f>
        <v/>
      </c>
      <c r="N87" s="48" t="str">
        <f>IF(AND(Creditos!$C$7&lt;&gt;"",Creditos!$M$7="OK",22&lt;=Creditos!$H$7),SUMIFS(Pagos!$F$6:$F$305,Pagos!$C$6:$C$305,C87,Pagos!$D$6:$D$305,D87,Pagos!$E$6:$E$305,"&lt;="&amp;Supuestos!$D$6,Pagos!$H$6:$H$305,"OK"),"")</f>
        <v/>
      </c>
      <c r="O87" s="48" t="str">
        <f>IF(AND(Creditos!$C$7&lt;&gt;"",Creditos!$M$7="OK",22&lt;=Creditos!$H$7),MIN(J87,MAX(0,N87-K87-H87)),"")</f>
        <v/>
      </c>
      <c r="P87" s="48" t="str">
        <f>IF(AND(Creditos!$C$7&lt;&gt;"",Creditos!$M$7="OK",22&lt;=Creditos!$H$7),MAX(0,L87-N87),"")</f>
        <v/>
      </c>
      <c r="Q87" s="50" t="str">
        <f>IF(AND(Creditos!$C$7&lt;&gt;"",Creditos!$M$7="OK",22&lt;=Creditos!$H$7),IF(AND(E87&lt;Supuestos!$D$6,P87&gt;0.005),Supuestos!$D$6-E87,0),"")</f>
        <v/>
      </c>
      <c r="R87" s="48" t="str">
        <f>IF(AND(Creditos!$C$7&lt;&gt;"",Creditos!$M$7="OK",22&lt;=Creditos!$H$7),MAX(0,N87-L87),"")</f>
        <v/>
      </c>
      <c r="S87" s="46" t="str">
        <f>IF(AND(Creditos!$C$7&lt;&gt;"",Creditos!$M$7="OK",22&lt;=Creditos!$H$7),IF(R87&gt;0.005,"Exceso sin imputar",IF(P87&lt;=0.005,"Pagada",IF(E87&lt;Supuestos!$D$6,"Vencida",IF(E87=Supuestos!$D$6,"Vence hoy","Por vencer")))),"")</f>
        <v/>
      </c>
      <c r="T87" s="46">
        <f>IF(AND(Creditos!$C$7&lt;&gt;"",Creditos!$M$7="OK",22&lt;=Creditos!$H$7),IF(P87&gt;0.005,E87,999999),999999)</f>
        <v>999999</v>
      </c>
    </row>
    <row r="88" ht="25.5" customHeight="1">
      <c r="C88" s="46" t="str">
        <f>IF(AND(Creditos!$C$7&lt;&gt;"",Creditos!$M$7="OK",23&lt;=Creditos!$H$7),Creditos!$C$7,"")</f>
        <v/>
      </c>
      <c r="D88" s="46" t="str">
        <f>IF(AND(Creditos!$C$7&lt;&gt;"",Creditos!$M$7="OK",23&lt;=Creditos!$H$7),23,"")</f>
        <v/>
      </c>
      <c r="E88" s="47" t="str">
        <f>IF(AND(Creditos!$C$7&lt;&gt;"",Creditos!$M$7="OK",23&lt;=Creditos!$H$7),EDATE(Creditos!$I$7,22),"")</f>
        <v/>
      </c>
      <c r="F88" s="48" t="str">
        <f>IF(AND(Creditos!$C$7&lt;&gt;"",Creditos!$M$7="OK",23&lt;=Creditos!$H$7),M87,"")</f>
        <v/>
      </c>
      <c r="G88" s="49" t="str">
        <f>IF(AND(Creditos!$C$7&lt;&gt;"",Creditos!$M$7="OK",23&lt;=Creditos!$H$7),Creditos!$N$7,"")</f>
        <v/>
      </c>
      <c r="H88" s="48" t="str">
        <f>IF(AND(Creditos!$C$7&lt;&gt;"",Creditos!$M$7="OK",23&lt;=Creditos!$H$7),ROUND(F88*G88,2),"")</f>
        <v/>
      </c>
      <c r="I88" s="48" t="str">
        <f>IF(AND(Creditos!$C$7&lt;&gt;"",Creditos!$M$7="OK",23&lt;=Creditos!$H$7),IF(23=Creditos!$H$7,F88+H88,MIN(Creditos!$O$7,F88+H88)),"")</f>
        <v/>
      </c>
      <c r="J88" s="48" t="str">
        <f>IF(AND(Creditos!$C$7&lt;&gt;"",Creditos!$M$7="OK",23&lt;=Creditos!$H$7),MIN(F88,MAX(0,I88-H88)),"")</f>
        <v/>
      </c>
      <c r="K88" s="48" t="str">
        <f>IF(AND(Creditos!$C$7&lt;&gt;"",Creditos!$M$7="OK",23&lt;=Creditos!$H$7),Creditos!$J$7+Creditos!$K$7,"")</f>
        <v/>
      </c>
      <c r="L88" s="48" t="str">
        <f>IF(AND(Creditos!$C$7&lt;&gt;"",Creditos!$M$7="OK",23&lt;=Creditos!$H$7),I88+K88,"")</f>
        <v/>
      </c>
      <c r="M88" s="48" t="str">
        <f>IF(AND(Creditos!$C$7&lt;&gt;"",Creditos!$M$7="OK",23&lt;=Creditos!$H$7),MAX(0,F88-J88),"")</f>
        <v/>
      </c>
      <c r="N88" s="48" t="str">
        <f>IF(AND(Creditos!$C$7&lt;&gt;"",Creditos!$M$7="OK",23&lt;=Creditos!$H$7),SUMIFS(Pagos!$F$6:$F$305,Pagos!$C$6:$C$305,C88,Pagos!$D$6:$D$305,D88,Pagos!$E$6:$E$305,"&lt;="&amp;Supuestos!$D$6,Pagos!$H$6:$H$305,"OK"),"")</f>
        <v/>
      </c>
      <c r="O88" s="48" t="str">
        <f>IF(AND(Creditos!$C$7&lt;&gt;"",Creditos!$M$7="OK",23&lt;=Creditos!$H$7),MIN(J88,MAX(0,N88-K88-H88)),"")</f>
        <v/>
      </c>
      <c r="P88" s="48" t="str">
        <f>IF(AND(Creditos!$C$7&lt;&gt;"",Creditos!$M$7="OK",23&lt;=Creditos!$H$7),MAX(0,L88-N88),"")</f>
        <v/>
      </c>
      <c r="Q88" s="50" t="str">
        <f>IF(AND(Creditos!$C$7&lt;&gt;"",Creditos!$M$7="OK",23&lt;=Creditos!$H$7),IF(AND(E88&lt;Supuestos!$D$6,P88&gt;0.005),Supuestos!$D$6-E88,0),"")</f>
        <v/>
      </c>
      <c r="R88" s="48" t="str">
        <f>IF(AND(Creditos!$C$7&lt;&gt;"",Creditos!$M$7="OK",23&lt;=Creditos!$H$7),MAX(0,N88-L88),"")</f>
        <v/>
      </c>
      <c r="S88" s="46" t="str">
        <f>IF(AND(Creditos!$C$7&lt;&gt;"",Creditos!$M$7="OK",23&lt;=Creditos!$H$7),IF(R88&gt;0.005,"Exceso sin imputar",IF(P88&lt;=0.005,"Pagada",IF(E88&lt;Supuestos!$D$6,"Vencida",IF(E88=Supuestos!$D$6,"Vence hoy","Por vencer")))),"")</f>
        <v/>
      </c>
      <c r="T88" s="46">
        <f>IF(AND(Creditos!$C$7&lt;&gt;"",Creditos!$M$7="OK",23&lt;=Creditos!$H$7),IF(P88&gt;0.005,E88,999999),999999)</f>
        <v>999999</v>
      </c>
    </row>
    <row r="89" ht="25.5" customHeight="1">
      <c r="C89" s="46" t="str">
        <f>IF(AND(Creditos!$C$7&lt;&gt;"",Creditos!$M$7="OK",24&lt;=Creditos!$H$7),Creditos!$C$7,"")</f>
        <v/>
      </c>
      <c r="D89" s="46" t="str">
        <f>IF(AND(Creditos!$C$7&lt;&gt;"",Creditos!$M$7="OK",24&lt;=Creditos!$H$7),24,"")</f>
        <v/>
      </c>
      <c r="E89" s="47" t="str">
        <f>IF(AND(Creditos!$C$7&lt;&gt;"",Creditos!$M$7="OK",24&lt;=Creditos!$H$7),EDATE(Creditos!$I$7,23),"")</f>
        <v/>
      </c>
      <c r="F89" s="48" t="str">
        <f>IF(AND(Creditos!$C$7&lt;&gt;"",Creditos!$M$7="OK",24&lt;=Creditos!$H$7),M88,"")</f>
        <v/>
      </c>
      <c r="G89" s="49" t="str">
        <f>IF(AND(Creditos!$C$7&lt;&gt;"",Creditos!$M$7="OK",24&lt;=Creditos!$H$7),Creditos!$N$7,"")</f>
        <v/>
      </c>
      <c r="H89" s="48" t="str">
        <f>IF(AND(Creditos!$C$7&lt;&gt;"",Creditos!$M$7="OK",24&lt;=Creditos!$H$7),ROUND(F89*G89,2),"")</f>
        <v/>
      </c>
      <c r="I89" s="48" t="str">
        <f>IF(AND(Creditos!$C$7&lt;&gt;"",Creditos!$M$7="OK",24&lt;=Creditos!$H$7),IF(24=Creditos!$H$7,F89+H89,MIN(Creditos!$O$7,F89+H89)),"")</f>
        <v/>
      </c>
      <c r="J89" s="48" t="str">
        <f>IF(AND(Creditos!$C$7&lt;&gt;"",Creditos!$M$7="OK",24&lt;=Creditos!$H$7),MIN(F89,MAX(0,I89-H89)),"")</f>
        <v/>
      </c>
      <c r="K89" s="48" t="str">
        <f>IF(AND(Creditos!$C$7&lt;&gt;"",Creditos!$M$7="OK",24&lt;=Creditos!$H$7),Creditos!$J$7+Creditos!$K$7,"")</f>
        <v/>
      </c>
      <c r="L89" s="48" t="str">
        <f>IF(AND(Creditos!$C$7&lt;&gt;"",Creditos!$M$7="OK",24&lt;=Creditos!$H$7),I89+K89,"")</f>
        <v/>
      </c>
      <c r="M89" s="48" t="str">
        <f>IF(AND(Creditos!$C$7&lt;&gt;"",Creditos!$M$7="OK",24&lt;=Creditos!$H$7),MAX(0,F89-J89),"")</f>
        <v/>
      </c>
      <c r="N89" s="48" t="str">
        <f>IF(AND(Creditos!$C$7&lt;&gt;"",Creditos!$M$7="OK",24&lt;=Creditos!$H$7),SUMIFS(Pagos!$F$6:$F$305,Pagos!$C$6:$C$305,C89,Pagos!$D$6:$D$305,D89,Pagos!$E$6:$E$305,"&lt;="&amp;Supuestos!$D$6,Pagos!$H$6:$H$305,"OK"),"")</f>
        <v/>
      </c>
      <c r="O89" s="48" t="str">
        <f>IF(AND(Creditos!$C$7&lt;&gt;"",Creditos!$M$7="OK",24&lt;=Creditos!$H$7),MIN(J89,MAX(0,N89-K89-H89)),"")</f>
        <v/>
      </c>
      <c r="P89" s="48" t="str">
        <f>IF(AND(Creditos!$C$7&lt;&gt;"",Creditos!$M$7="OK",24&lt;=Creditos!$H$7),MAX(0,L89-N89),"")</f>
        <v/>
      </c>
      <c r="Q89" s="50" t="str">
        <f>IF(AND(Creditos!$C$7&lt;&gt;"",Creditos!$M$7="OK",24&lt;=Creditos!$H$7),IF(AND(E89&lt;Supuestos!$D$6,P89&gt;0.005),Supuestos!$D$6-E89,0),"")</f>
        <v/>
      </c>
      <c r="R89" s="48" t="str">
        <f>IF(AND(Creditos!$C$7&lt;&gt;"",Creditos!$M$7="OK",24&lt;=Creditos!$H$7),MAX(0,N89-L89),"")</f>
        <v/>
      </c>
      <c r="S89" s="46" t="str">
        <f>IF(AND(Creditos!$C$7&lt;&gt;"",Creditos!$M$7="OK",24&lt;=Creditos!$H$7),IF(R89&gt;0.005,"Exceso sin imputar",IF(P89&lt;=0.005,"Pagada",IF(E89&lt;Supuestos!$D$6,"Vencida",IF(E89=Supuestos!$D$6,"Vence hoy","Por vencer")))),"")</f>
        <v/>
      </c>
      <c r="T89" s="46">
        <f>IF(AND(Creditos!$C$7&lt;&gt;"",Creditos!$M$7="OK",24&lt;=Creditos!$H$7),IF(P89&gt;0.005,E89,999999),999999)</f>
        <v>999999</v>
      </c>
    </row>
    <row r="90" ht="25.5" customHeight="1">
      <c r="C90" s="46" t="str">
        <f>IF(AND(Creditos!$C$7&lt;&gt;"",Creditos!$M$7="OK",25&lt;=Creditos!$H$7),Creditos!$C$7,"")</f>
        <v/>
      </c>
      <c r="D90" s="46" t="str">
        <f>IF(AND(Creditos!$C$7&lt;&gt;"",Creditos!$M$7="OK",25&lt;=Creditos!$H$7),25,"")</f>
        <v/>
      </c>
      <c r="E90" s="47" t="str">
        <f>IF(AND(Creditos!$C$7&lt;&gt;"",Creditos!$M$7="OK",25&lt;=Creditos!$H$7),EDATE(Creditos!$I$7,24),"")</f>
        <v/>
      </c>
      <c r="F90" s="48" t="str">
        <f>IF(AND(Creditos!$C$7&lt;&gt;"",Creditos!$M$7="OK",25&lt;=Creditos!$H$7),M89,"")</f>
        <v/>
      </c>
      <c r="G90" s="49" t="str">
        <f>IF(AND(Creditos!$C$7&lt;&gt;"",Creditos!$M$7="OK",25&lt;=Creditos!$H$7),Creditos!$N$7,"")</f>
        <v/>
      </c>
      <c r="H90" s="48" t="str">
        <f>IF(AND(Creditos!$C$7&lt;&gt;"",Creditos!$M$7="OK",25&lt;=Creditos!$H$7),ROUND(F90*G90,2),"")</f>
        <v/>
      </c>
      <c r="I90" s="48" t="str">
        <f>IF(AND(Creditos!$C$7&lt;&gt;"",Creditos!$M$7="OK",25&lt;=Creditos!$H$7),IF(25=Creditos!$H$7,F90+H90,MIN(Creditos!$O$7,F90+H90)),"")</f>
        <v/>
      </c>
      <c r="J90" s="48" t="str">
        <f>IF(AND(Creditos!$C$7&lt;&gt;"",Creditos!$M$7="OK",25&lt;=Creditos!$H$7),MIN(F90,MAX(0,I90-H90)),"")</f>
        <v/>
      </c>
      <c r="K90" s="48" t="str">
        <f>IF(AND(Creditos!$C$7&lt;&gt;"",Creditos!$M$7="OK",25&lt;=Creditos!$H$7),Creditos!$J$7+Creditos!$K$7,"")</f>
        <v/>
      </c>
      <c r="L90" s="48" t="str">
        <f>IF(AND(Creditos!$C$7&lt;&gt;"",Creditos!$M$7="OK",25&lt;=Creditos!$H$7),I90+K90,"")</f>
        <v/>
      </c>
      <c r="M90" s="48" t="str">
        <f>IF(AND(Creditos!$C$7&lt;&gt;"",Creditos!$M$7="OK",25&lt;=Creditos!$H$7),MAX(0,F90-J90),"")</f>
        <v/>
      </c>
      <c r="N90" s="48" t="str">
        <f>IF(AND(Creditos!$C$7&lt;&gt;"",Creditos!$M$7="OK",25&lt;=Creditos!$H$7),SUMIFS(Pagos!$F$6:$F$305,Pagos!$C$6:$C$305,C90,Pagos!$D$6:$D$305,D90,Pagos!$E$6:$E$305,"&lt;="&amp;Supuestos!$D$6,Pagos!$H$6:$H$305,"OK"),"")</f>
        <v/>
      </c>
      <c r="O90" s="48" t="str">
        <f>IF(AND(Creditos!$C$7&lt;&gt;"",Creditos!$M$7="OK",25&lt;=Creditos!$H$7),MIN(J90,MAX(0,N90-K90-H90)),"")</f>
        <v/>
      </c>
      <c r="P90" s="48" t="str">
        <f>IF(AND(Creditos!$C$7&lt;&gt;"",Creditos!$M$7="OK",25&lt;=Creditos!$H$7),MAX(0,L90-N90),"")</f>
        <v/>
      </c>
      <c r="Q90" s="50" t="str">
        <f>IF(AND(Creditos!$C$7&lt;&gt;"",Creditos!$M$7="OK",25&lt;=Creditos!$H$7),IF(AND(E90&lt;Supuestos!$D$6,P90&gt;0.005),Supuestos!$D$6-E90,0),"")</f>
        <v/>
      </c>
      <c r="R90" s="48" t="str">
        <f>IF(AND(Creditos!$C$7&lt;&gt;"",Creditos!$M$7="OK",25&lt;=Creditos!$H$7),MAX(0,N90-L90),"")</f>
        <v/>
      </c>
      <c r="S90" s="46" t="str">
        <f>IF(AND(Creditos!$C$7&lt;&gt;"",Creditos!$M$7="OK",25&lt;=Creditos!$H$7),IF(R90&gt;0.005,"Exceso sin imputar",IF(P90&lt;=0.005,"Pagada",IF(E90&lt;Supuestos!$D$6,"Vencida",IF(E90=Supuestos!$D$6,"Vence hoy","Por vencer")))),"")</f>
        <v/>
      </c>
      <c r="T90" s="46">
        <f>IF(AND(Creditos!$C$7&lt;&gt;"",Creditos!$M$7="OK",25&lt;=Creditos!$H$7),IF(P90&gt;0.005,E90,999999),999999)</f>
        <v>999999</v>
      </c>
    </row>
    <row r="91" ht="25.5" customHeight="1">
      <c r="C91" s="46" t="str">
        <f>IF(AND(Creditos!$C$7&lt;&gt;"",Creditos!$M$7="OK",26&lt;=Creditos!$H$7),Creditos!$C$7,"")</f>
        <v/>
      </c>
      <c r="D91" s="46" t="str">
        <f>IF(AND(Creditos!$C$7&lt;&gt;"",Creditos!$M$7="OK",26&lt;=Creditos!$H$7),26,"")</f>
        <v/>
      </c>
      <c r="E91" s="47" t="str">
        <f>IF(AND(Creditos!$C$7&lt;&gt;"",Creditos!$M$7="OK",26&lt;=Creditos!$H$7),EDATE(Creditos!$I$7,25),"")</f>
        <v/>
      </c>
      <c r="F91" s="48" t="str">
        <f>IF(AND(Creditos!$C$7&lt;&gt;"",Creditos!$M$7="OK",26&lt;=Creditos!$H$7),M90,"")</f>
        <v/>
      </c>
      <c r="G91" s="49" t="str">
        <f>IF(AND(Creditos!$C$7&lt;&gt;"",Creditos!$M$7="OK",26&lt;=Creditos!$H$7),Creditos!$N$7,"")</f>
        <v/>
      </c>
      <c r="H91" s="48" t="str">
        <f>IF(AND(Creditos!$C$7&lt;&gt;"",Creditos!$M$7="OK",26&lt;=Creditos!$H$7),ROUND(F91*G91,2),"")</f>
        <v/>
      </c>
      <c r="I91" s="48" t="str">
        <f>IF(AND(Creditos!$C$7&lt;&gt;"",Creditos!$M$7="OK",26&lt;=Creditos!$H$7),IF(26=Creditos!$H$7,F91+H91,MIN(Creditos!$O$7,F91+H91)),"")</f>
        <v/>
      </c>
      <c r="J91" s="48" t="str">
        <f>IF(AND(Creditos!$C$7&lt;&gt;"",Creditos!$M$7="OK",26&lt;=Creditos!$H$7),MIN(F91,MAX(0,I91-H91)),"")</f>
        <v/>
      </c>
      <c r="K91" s="48" t="str">
        <f>IF(AND(Creditos!$C$7&lt;&gt;"",Creditos!$M$7="OK",26&lt;=Creditos!$H$7),Creditos!$J$7+Creditos!$K$7,"")</f>
        <v/>
      </c>
      <c r="L91" s="48" t="str">
        <f>IF(AND(Creditos!$C$7&lt;&gt;"",Creditos!$M$7="OK",26&lt;=Creditos!$H$7),I91+K91,"")</f>
        <v/>
      </c>
      <c r="M91" s="48" t="str">
        <f>IF(AND(Creditos!$C$7&lt;&gt;"",Creditos!$M$7="OK",26&lt;=Creditos!$H$7),MAX(0,F91-J91),"")</f>
        <v/>
      </c>
      <c r="N91" s="48" t="str">
        <f>IF(AND(Creditos!$C$7&lt;&gt;"",Creditos!$M$7="OK",26&lt;=Creditos!$H$7),SUMIFS(Pagos!$F$6:$F$305,Pagos!$C$6:$C$305,C91,Pagos!$D$6:$D$305,D91,Pagos!$E$6:$E$305,"&lt;="&amp;Supuestos!$D$6,Pagos!$H$6:$H$305,"OK"),"")</f>
        <v/>
      </c>
      <c r="O91" s="48" t="str">
        <f>IF(AND(Creditos!$C$7&lt;&gt;"",Creditos!$M$7="OK",26&lt;=Creditos!$H$7),MIN(J91,MAX(0,N91-K91-H91)),"")</f>
        <v/>
      </c>
      <c r="P91" s="48" t="str">
        <f>IF(AND(Creditos!$C$7&lt;&gt;"",Creditos!$M$7="OK",26&lt;=Creditos!$H$7),MAX(0,L91-N91),"")</f>
        <v/>
      </c>
      <c r="Q91" s="50" t="str">
        <f>IF(AND(Creditos!$C$7&lt;&gt;"",Creditos!$M$7="OK",26&lt;=Creditos!$H$7),IF(AND(E91&lt;Supuestos!$D$6,P91&gt;0.005),Supuestos!$D$6-E91,0),"")</f>
        <v/>
      </c>
      <c r="R91" s="48" t="str">
        <f>IF(AND(Creditos!$C$7&lt;&gt;"",Creditos!$M$7="OK",26&lt;=Creditos!$H$7),MAX(0,N91-L91),"")</f>
        <v/>
      </c>
      <c r="S91" s="46" t="str">
        <f>IF(AND(Creditos!$C$7&lt;&gt;"",Creditos!$M$7="OK",26&lt;=Creditos!$H$7),IF(R91&gt;0.005,"Exceso sin imputar",IF(P91&lt;=0.005,"Pagada",IF(E91&lt;Supuestos!$D$6,"Vencida",IF(E91=Supuestos!$D$6,"Vence hoy","Por vencer")))),"")</f>
        <v/>
      </c>
      <c r="T91" s="46">
        <f>IF(AND(Creditos!$C$7&lt;&gt;"",Creditos!$M$7="OK",26&lt;=Creditos!$H$7),IF(P91&gt;0.005,E91,999999),999999)</f>
        <v>999999</v>
      </c>
    </row>
    <row r="92" ht="25.5" customHeight="1">
      <c r="C92" s="46" t="str">
        <f>IF(AND(Creditos!$C$7&lt;&gt;"",Creditos!$M$7="OK",27&lt;=Creditos!$H$7),Creditos!$C$7,"")</f>
        <v/>
      </c>
      <c r="D92" s="46" t="str">
        <f>IF(AND(Creditos!$C$7&lt;&gt;"",Creditos!$M$7="OK",27&lt;=Creditos!$H$7),27,"")</f>
        <v/>
      </c>
      <c r="E92" s="47" t="str">
        <f>IF(AND(Creditos!$C$7&lt;&gt;"",Creditos!$M$7="OK",27&lt;=Creditos!$H$7),EDATE(Creditos!$I$7,26),"")</f>
        <v/>
      </c>
      <c r="F92" s="48" t="str">
        <f>IF(AND(Creditos!$C$7&lt;&gt;"",Creditos!$M$7="OK",27&lt;=Creditos!$H$7),M91,"")</f>
        <v/>
      </c>
      <c r="G92" s="49" t="str">
        <f>IF(AND(Creditos!$C$7&lt;&gt;"",Creditos!$M$7="OK",27&lt;=Creditos!$H$7),Creditos!$N$7,"")</f>
        <v/>
      </c>
      <c r="H92" s="48" t="str">
        <f>IF(AND(Creditos!$C$7&lt;&gt;"",Creditos!$M$7="OK",27&lt;=Creditos!$H$7),ROUND(F92*G92,2),"")</f>
        <v/>
      </c>
      <c r="I92" s="48" t="str">
        <f>IF(AND(Creditos!$C$7&lt;&gt;"",Creditos!$M$7="OK",27&lt;=Creditos!$H$7),IF(27=Creditos!$H$7,F92+H92,MIN(Creditos!$O$7,F92+H92)),"")</f>
        <v/>
      </c>
      <c r="J92" s="48" t="str">
        <f>IF(AND(Creditos!$C$7&lt;&gt;"",Creditos!$M$7="OK",27&lt;=Creditos!$H$7),MIN(F92,MAX(0,I92-H92)),"")</f>
        <v/>
      </c>
      <c r="K92" s="48" t="str">
        <f>IF(AND(Creditos!$C$7&lt;&gt;"",Creditos!$M$7="OK",27&lt;=Creditos!$H$7),Creditos!$J$7+Creditos!$K$7,"")</f>
        <v/>
      </c>
      <c r="L92" s="48" t="str">
        <f>IF(AND(Creditos!$C$7&lt;&gt;"",Creditos!$M$7="OK",27&lt;=Creditos!$H$7),I92+K92,"")</f>
        <v/>
      </c>
      <c r="M92" s="48" t="str">
        <f>IF(AND(Creditos!$C$7&lt;&gt;"",Creditos!$M$7="OK",27&lt;=Creditos!$H$7),MAX(0,F92-J92),"")</f>
        <v/>
      </c>
      <c r="N92" s="48" t="str">
        <f>IF(AND(Creditos!$C$7&lt;&gt;"",Creditos!$M$7="OK",27&lt;=Creditos!$H$7),SUMIFS(Pagos!$F$6:$F$305,Pagos!$C$6:$C$305,C92,Pagos!$D$6:$D$305,D92,Pagos!$E$6:$E$305,"&lt;="&amp;Supuestos!$D$6,Pagos!$H$6:$H$305,"OK"),"")</f>
        <v/>
      </c>
      <c r="O92" s="48" t="str">
        <f>IF(AND(Creditos!$C$7&lt;&gt;"",Creditos!$M$7="OK",27&lt;=Creditos!$H$7),MIN(J92,MAX(0,N92-K92-H92)),"")</f>
        <v/>
      </c>
      <c r="P92" s="48" t="str">
        <f>IF(AND(Creditos!$C$7&lt;&gt;"",Creditos!$M$7="OK",27&lt;=Creditos!$H$7),MAX(0,L92-N92),"")</f>
        <v/>
      </c>
      <c r="Q92" s="50" t="str">
        <f>IF(AND(Creditos!$C$7&lt;&gt;"",Creditos!$M$7="OK",27&lt;=Creditos!$H$7),IF(AND(E92&lt;Supuestos!$D$6,P92&gt;0.005),Supuestos!$D$6-E92,0),"")</f>
        <v/>
      </c>
      <c r="R92" s="48" t="str">
        <f>IF(AND(Creditos!$C$7&lt;&gt;"",Creditos!$M$7="OK",27&lt;=Creditos!$H$7),MAX(0,N92-L92),"")</f>
        <v/>
      </c>
      <c r="S92" s="46" t="str">
        <f>IF(AND(Creditos!$C$7&lt;&gt;"",Creditos!$M$7="OK",27&lt;=Creditos!$H$7),IF(R92&gt;0.005,"Exceso sin imputar",IF(P92&lt;=0.005,"Pagada",IF(E92&lt;Supuestos!$D$6,"Vencida",IF(E92=Supuestos!$D$6,"Vence hoy","Por vencer")))),"")</f>
        <v/>
      </c>
      <c r="T92" s="46">
        <f>IF(AND(Creditos!$C$7&lt;&gt;"",Creditos!$M$7="OK",27&lt;=Creditos!$H$7),IF(P92&gt;0.005,E92,999999),999999)</f>
        <v>999999</v>
      </c>
    </row>
    <row r="93" ht="25.5" customHeight="1">
      <c r="C93" s="46" t="str">
        <f>IF(AND(Creditos!$C$7&lt;&gt;"",Creditos!$M$7="OK",28&lt;=Creditos!$H$7),Creditos!$C$7,"")</f>
        <v/>
      </c>
      <c r="D93" s="46" t="str">
        <f>IF(AND(Creditos!$C$7&lt;&gt;"",Creditos!$M$7="OK",28&lt;=Creditos!$H$7),28,"")</f>
        <v/>
      </c>
      <c r="E93" s="47" t="str">
        <f>IF(AND(Creditos!$C$7&lt;&gt;"",Creditos!$M$7="OK",28&lt;=Creditos!$H$7),EDATE(Creditos!$I$7,27),"")</f>
        <v/>
      </c>
      <c r="F93" s="48" t="str">
        <f>IF(AND(Creditos!$C$7&lt;&gt;"",Creditos!$M$7="OK",28&lt;=Creditos!$H$7),M92,"")</f>
        <v/>
      </c>
      <c r="G93" s="49" t="str">
        <f>IF(AND(Creditos!$C$7&lt;&gt;"",Creditos!$M$7="OK",28&lt;=Creditos!$H$7),Creditos!$N$7,"")</f>
        <v/>
      </c>
      <c r="H93" s="48" t="str">
        <f>IF(AND(Creditos!$C$7&lt;&gt;"",Creditos!$M$7="OK",28&lt;=Creditos!$H$7),ROUND(F93*G93,2),"")</f>
        <v/>
      </c>
      <c r="I93" s="48" t="str">
        <f>IF(AND(Creditos!$C$7&lt;&gt;"",Creditos!$M$7="OK",28&lt;=Creditos!$H$7),IF(28=Creditos!$H$7,F93+H93,MIN(Creditos!$O$7,F93+H93)),"")</f>
        <v/>
      </c>
      <c r="J93" s="48" t="str">
        <f>IF(AND(Creditos!$C$7&lt;&gt;"",Creditos!$M$7="OK",28&lt;=Creditos!$H$7),MIN(F93,MAX(0,I93-H93)),"")</f>
        <v/>
      </c>
      <c r="K93" s="48" t="str">
        <f>IF(AND(Creditos!$C$7&lt;&gt;"",Creditos!$M$7="OK",28&lt;=Creditos!$H$7),Creditos!$J$7+Creditos!$K$7,"")</f>
        <v/>
      </c>
      <c r="L93" s="48" t="str">
        <f>IF(AND(Creditos!$C$7&lt;&gt;"",Creditos!$M$7="OK",28&lt;=Creditos!$H$7),I93+K93,"")</f>
        <v/>
      </c>
      <c r="M93" s="48" t="str">
        <f>IF(AND(Creditos!$C$7&lt;&gt;"",Creditos!$M$7="OK",28&lt;=Creditos!$H$7),MAX(0,F93-J93),"")</f>
        <v/>
      </c>
      <c r="N93" s="48" t="str">
        <f>IF(AND(Creditos!$C$7&lt;&gt;"",Creditos!$M$7="OK",28&lt;=Creditos!$H$7),SUMIFS(Pagos!$F$6:$F$305,Pagos!$C$6:$C$305,C93,Pagos!$D$6:$D$305,D93,Pagos!$E$6:$E$305,"&lt;="&amp;Supuestos!$D$6,Pagos!$H$6:$H$305,"OK"),"")</f>
        <v/>
      </c>
      <c r="O93" s="48" t="str">
        <f>IF(AND(Creditos!$C$7&lt;&gt;"",Creditos!$M$7="OK",28&lt;=Creditos!$H$7),MIN(J93,MAX(0,N93-K93-H93)),"")</f>
        <v/>
      </c>
      <c r="P93" s="48" t="str">
        <f>IF(AND(Creditos!$C$7&lt;&gt;"",Creditos!$M$7="OK",28&lt;=Creditos!$H$7),MAX(0,L93-N93),"")</f>
        <v/>
      </c>
      <c r="Q93" s="50" t="str">
        <f>IF(AND(Creditos!$C$7&lt;&gt;"",Creditos!$M$7="OK",28&lt;=Creditos!$H$7),IF(AND(E93&lt;Supuestos!$D$6,P93&gt;0.005),Supuestos!$D$6-E93,0),"")</f>
        <v/>
      </c>
      <c r="R93" s="48" t="str">
        <f>IF(AND(Creditos!$C$7&lt;&gt;"",Creditos!$M$7="OK",28&lt;=Creditos!$H$7),MAX(0,N93-L93),"")</f>
        <v/>
      </c>
      <c r="S93" s="46" t="str">
        <f>IF(AND(Creditos!$C$7&lt;&gt;"",Creditos!$M$7="OK",28&lt;=Creditos!$H$7),IF(R93&gt;0.005,"Exceso sin imputar",IF(P93&lt;=0.005,"Pagada",IF(E93&lt;Supuestos!$D$6,"Vencida",IF(E93=Supuestos!$D$6,"Vence hoy","Por vencer")))),"")</f>
        <v/>
      </c>
      <c r="T93" s="46">
        <f>IF(AND(Creditos!$C$7&lt;&gt;"",Creditos!$M$7="OK",28&lt;=Creditos!$H$7),IF(P93&gt;0.005,E93,999999),999999)</f>
        <v>999999</v>
      </c>
    </row>
    <row r="94" ht="25.5" customHeight="1">
      <c r="C94" s="46" t="str">
        <f>IF(AND(Creditos!$C$7&lt;&gt;"",Creditos!$M$7="OK",29&lt;=Creditos!$H$7),Creditos!$C$7,"")</f>
        <v/>
      </c>
      <c r="D94" s="46" t="str">
        <f>IF(AND(Creditos!$C$7&lt;&gt;"",Creditos!$M$7="OK",29&lt;=Creditos!$H$7),29,"")</f>
        <v/>
      </c>
      <c r="E94" s="47" t="str">
        <f>IF(AND(Creditos!$C$7&lt;&gt;"",Creditos!$M$7="OK",29&lt;=Creditos!$H$7),EDATE(Creditos!$I$7,28),"")</f>
        <v/>
      </c>
      <c r="F94" s="48" t="str">
        <f>IF(AND(Creditos!$C$7&lt;&gt;"",Creditos!$M$7="OK",29&lt;=Creditos!$H$7),M93,"")</f>
        <v/>
      </c>
      <c r="G94" s="49" t="str">
        <f>IF(AND(Creditos!$C$7&lt;&gt;"",Creditos!$M$7="OK",29&lt;=Creditos!$H$7),Creditos!$N$7,"")</f>
        <v/>
      </c>
      <c r="H94" s="48" t="str">
        <f>IF(AND(Creditos!$C$7&lt;&gt;"",Creditos!$M$7="OK",29&lt;=Creditos!$H$7),ROUND(F94*G94,2),"")</f>
        <v/>
      </c>
      <c r="I94" s="48" t="str">
        <f>IF(AND(Creditos!$C$7&lt;&gt;"",Creditos!$M$7="OK",29&lt;=Creditos!$H$7),IF(29=Creditos!$H$7,F94+H94,MIN(Creditos!$O$7,F94+H94)),"")</f>
        <v/>
      </c>
      <c r="J94" s="48" t="str">
        <f>IF(AND(Creditos!$C$7&lt;&gt;"",Creditos!$M$7="OK",29&lt;=Creditos!$H$7),MIN(F94,MAX(0,I94-H94)),"")</f>
        <v/>
      </c>
      <c r="K94" s="48" t="str">
        <f>IF(AND(Creditos!$C$7&lt;&gt;"",Creditos!$M$7="OK",29&lt;=Creditos!$H$7),Creditos!$J$7+Creditos!$K$7,"")</f>
        <v/>
      </c>
      <c r="L94" s="48" t="str">
        <f>IF(AND(Creditos!$C$7&lt;&gt;"",Creditos!$M$7="OK",29&lt;=Creditos!$H$7),I94+K94,"")</f>
        <v/>
      </c>
      <c r="M94" s="48" t="str">
        <f>IF(AND(Creditos!$C$7&lt;&gt;"",Creditos!$M$7="OK",29&lt;=Creditos!$H$7),MAX(0,F94-J94),"")</f>
        <v/>
      </c>
      <c r="N94" s="48" t="str">
        <f>IF(AND(Creditos!$C$7&lt;&gt;"",Creditos!$M$7="OK",29&lt;=Creditos!$H$7),SUMIFS(Pagos!$F$6:$F$305,Pagos!$C$6:$C$305,C94,Pagos!$D$6:$D$305,D94,Pagos!$E$6:$E$305,"&lt;="&amp;Supuestos!$D$6,Pagos!$H$6:$H$305,"OK"),"")</f>
        <v/>
      </c>
      <c r="O94" s="48" t="str">
        <f>IF(AND(Creditos!$C$7&lt;&gt;"",Creditos!$M$7="OK",29&lt;=Creditos!$H$7),MIN(J94,MAX(0,N94-K94-H94)),"")</f>
        <v/>
      </c>
      <c r="P94" s="48" t="str">
        <f>IF(AND(Creditos!$C$7&lt;&gt;"",Creditos!$M$7="OK",29&lt;=Creditos!$H$7),MAX(0,L94-N94),"")</f>
        <v/>
      </c>
      <c r="Q94" s="50" t="str">
        <f>IF(AND(Creditos!$C$7&lt;&gt;"",Creditos!$M$7="OK",29&lt;=Creditos!$H$7),IF(AND(E94&lt;Supuestos!$D$6,P94&gt;0.005),Supuestos!$D$6-E94,0),"")</f>
        <v/>
      </c>
      <c r="R94" s="48" t="str">
        <f>IF(AND(Creditos!$C$7&lt;&gt;"",Creditos!$M$7="OK",29&lt;=Creditos!$H$7),MAX(0,N94-L94),"")</f>
        <v/>
      </c>
      <c r="S94" s="46" t="str">
        <f>IF(AND(Creditos!$C$7&lt;&gt;"",Creditos!$M$7="OK",29&lt;=Creditos!$H$7),IF(R94&gt;0.005,"Exceso sin imputar",IF(P94&lt;=0.005,"Pagada",IF(E94&lt;Supuestos!$D$6,"Vencida",IF(E94=Supuestos!$D$6,"Vence hoy","Por vencer")))),"")</f>
        <v/>
      </c>
      <c r="T94" s="46">
        <f>IF(AND(Creditos!$C$7&lt;&gt;"",Creditos!$M$7="OK",29&lt;=Creditos!$H$7),IF(P94&gt;0.005,E94,999999),999999)</f>
        <v>999999</v>
      </c>
    </row>
    <row r="95" ht="25.5" customHeight="1">
      <c r="C95" s="46" t="str">
        <f>IF(AND(Creditos!$C$7&lt;&gt;"",Creditos!$M$7="OK",30&lt;=Creditos!$H$7),Creditos!$C$7,"")</f>
        <v/>
      </c>
      <c r="D95" s="46" t="str">
        <f>IF(AND(Creditos!$C$7&lt;&gt;"",Creditos!$M$7="OK",30&lt;=Creditos!$H$7),30,"")</f>
        <v/>
      </c>
      <c r="E95" s="47" t="str">
        <f>IF(AND(Creditos!$C$7&lt;&gt;"",Creditos!$M$7="OK",30&lt;=Creditos!$H$7),EDATE(Creditos!$I$7,29),"")</f>
        <v/>
      </c>
      <c r="F95" s="48" t="str">
        <f>IF(AND(Creditos!$C$7&lt;&gt;"",Creditos!$M$7="OK",30&lt;=Creditos!$H$7),M94,"")</f>
        <v/>
      </c>
      <c r="G95" s="49" t="str">
        <f>IF(AND(Creditos!$C$7&lt;&gt;"",Creditos!$M$7="OK",30&lt;=Creditos!$H$7),Creditos!$N$7,"")</f>
        <v/>
      </c>
      <c r="H95" s="48" t="str">
        <f>IF(AND(Creditos!$C$7&lt;&gt;"",Creditos!$M$7="OK",30&lt;=Creditos!$H$7),ROUND(F95*G95,2),"")</f>
        <v/>
      </c>
      <c r="I95" s="48" t="str">
        <f>IF(AND(Creditos!$C$7&lt;&gt;"",Creditos!$M$7="OK",30&lt;=Creditos!$H$7),IF(30=Creditos!$H$7,F95+H95,MIN(Creditos!$O$7,F95+H95)),"")</f>
        <v/>
      </c>
      <c r="J95" s="48" t="str">
        <f>IF(AND(Creditos!$C$7&lt;&gt;"",Creditos!$M$7="OK",30&lt;=Creditos!$H$7),MIN(F95,MAX(0,I95-H95)),"")</f>
        <v/>
      </c>
      <c r="K95" s="48" t="str">
        <f>IF(AND(Creditos!$C$7&lt;&gt;"",Creditos!$M$7="OK",30&lt;=Creditos!$H$7),Creditos!$J$7+Creditos!$K$7,"")</f>
        <v/>
      </c>
      <c r="L95" s="48" t="str">
        <f>IF(AND(Creditos!$C$7&lt;&gt;"",Creditos!$M$7="OK",30&lt;=Creditos!$H$7),I95+K95,"")</f>
        <v/>
      </c>
      <c r="M95" s="48" t="str">
        <f>IF(AND(Creditos!$C$7&lt;&gt;"",Creditos!$M$7="OK",30&lt;=Creditos!$H$7),MAX(0,F95-J95),"")</f>
        <v/>
      </c>
      <c r="N95" s="48" t="str">
        <f>IF(AND(Creditos!$C$7&lt;&gt;"",Creditos!$M$7="OK",30&lt;=Creditos!$H$7),SUMIFS(Pagos!$F$6:$F$305,Pagos!$C$6:$C$305,C95,Pagos!$D$6:$D$305,D95,Pagos!$E$6:$E$305,"&lt;="&amp;Supuestos!$D$6,Pagos!$H$6:$H$305,"OK"),"")</f>
        <v/>
      </c>
      <c r="O95" s="48" t="str">
        <f>IF(AND(Creditos!$C$7&lt;&gt;"",Creditos!$M$7="OK",30&lt;=Creditos!$H$7),MIN(J95,MAX(0,N95-K95-H95)),"")</f>
        <v/>
      </c>
      <c r="P95" s="48" t="str">
        <f>IF(AND(Creditos!$C$7&lt;&gt;"",Creditos!$M$7="OK",30&lt;=Creditos!$H$7),MAX(0,L95-N95),"")</f>
        <v/>
      </c>
      <c r="Q95" s="50" t="str">
        <f>IF(AND(Creditos!$C$7&lt;&gt;"",Creditos!$M$7="OK",30&lt;=Creditos!$H$7),IF(AND(E95&lt;Supuestos!$D$6,P95&gt;0.005),Supuestos!$D$6-E95,0),"")</f>
        <v/>
      </c>
      <c r="R95" s="48" t="str">
        <f>IF(AND(Creditos!$C$7&lt;&gt;"",Creditos!$M$7="OK",30&lt;=Creditos!$H$7),MAX(0,N95-L95),"")</f>
        <v/>
      </c>
      <c r="S95" s="46" t="str">
        <f>IF(AND(Creditos!$C$7&lt;&gt;"",Creditos!$M$7="OK",30&lt;=Creditos!$H$7),IF(R95&gt;0.005,"Exceso sin imputar",IF(P95&lt;=0.005,"Pagada",IF(E95&lt;Supuestos!$D$6,"Vencida",IF(E95=Supuestos!$D$6,"Vence hoy","Por vencer")))),"")</f>
        <v/>
      </c>
      <c r="T95" s="46">
        <f>IF(AND(Creditos!$C$7&lt;&gt;"",Creditos!$M$7="OK",30&lt;=Creditos!$H$7),IF(P95&gt;0.005,E95,999999),999999)</f>
        <v>999999</v>
      </c>
    </row>
    <row r="96" ht="25.5" customHeight="1">
      <c r="C96" s="46" t="str">
        <f>IF(AND(Creditos!$C$7&lt;&gt;"",Creditos!$M$7="OK",31&lt;=Creditos!$H$7),Creditos!$C$7,"")</f>
        <v/>
      </c>
      <c r="D96" s="46" t="str">
        <f>IF(AND(Creditos!$C$7&lt;&gt;"",Creditos!$M$7="OK",31&lt;=Creditos!$H$7),31,"")</f>
        <v/>
      </c>
      <c r="E96" s="47" t="str">
        <f>IF(AND(Creditos!$C$7&lt;&gt;"",Creditos!$M$7="OK",31&lt;=Creditos!$H$7),EDATE(Creditos!$I$7,30),"")</f>
        <v/>
      </c>
      <c r="F96" s="48" t="str">
        <f>IF(AND(Creditos!$C$7&lt;&gt;"",Creditos!$M$7="OK",31&lt;=Creditos!$H$7),M95,"")</f>
        <v/>
      </c>
      <c r="G96" s="49" t="str">
        <f>IF(AND(Creditos!$C$7&lt;&gt;"",Creditos!$M$7="OK",31&lt;=Creditos!$H$7),Creditos!$N$7,"")</f>
        <v/>
      </c>
      <c r="H96" s="48" t="str">
        <f>IF(AND(Creditos!$C$7&lt;&gt;"",Creditos!$M$7="OK",31&lt;=Creditos!$H$7),ROUND(F96*G96,2),"")</f>
        <v/>
      </c>
      <c r="I96" s="48" t="str">
        <f>IF(AND(Creditos!$C$7&lt;&gt;"",Creditos!$M$7="OK",31&lt;=Creditos!$H$7),IF(31=Creditos!$H$7,F96+H96,MIN(Creditos!$O$7,F96+H96)),"")</f>
        <v/>
      </c>
      <c r="J96" s="48" t="str">
        <f>IF(AND(Creditos!$C$7&lt;&gt;"",Creditos!$M$7="OK",31&lt;=Creditos!$H$7),MIN(F96,MAX(0,I96-H96)),"")</f>
        <v/>
      </c>
      <c r="K96" s="48" t="str">
        <f>IF(AND(Creditos!$C$7&lt;&gt;"",Creditos!$M$7="OK",31&lt;=Creditos!$H$7),Creditos!$J$7+Creditos!$K$7,"")</f>
        <v/>
      </c>
      <c r="L96" s="48" t="str">
        <f>IF(AND(Creditos!$C$7&lt;&gt;"",Creditos!$M$7="OK",31&lt;=Creditos!$H$7),I96+K96,"")</f>
        <v/>
      </c>
      <c r="M96" s="48" t="str">
        <f>IF(AND(Creditos!$C$7&lt;&gt;"",Creditos!$M$7="OK",31&lt;=Creditos!$H$7),MAX(0,F96-J96),"")</f>
        <v/>
      </c>
      <c r="N96" s="48" t="str">
        <f>IF(AND(Creditos!$C$7&lt;&gt;"",Creditos!$M$7="OK",31&lt;=Creditos!$H$7),SUMIFS(Pagos!$F$6:$F$305,Pagos!$C$6:$C$305,C96,Pagos!$D$6:$D$305,D96,Pagos!$E$6:$E$305,"&lt;="&amp;Supuestos!$D$6,Pagos!$H$6:$H$305,"OK"),"")</f>
        <v/>
      </c>
      <c r="O96" s="48" t="str">
        <f>IF(AND(Creditos!$C$7&lt;&gt;"",Creditos!$M$7="OK",31&lt;=Creditos!$H$7),MIN(J96,MAX(0,N96-K96-H96)),"")</f>
        <v/>
      </c>
      <c r="P96" s="48" t="str">
        <f>IF(AND(Creditos!$C$7&lt;&gt;"",Creditos!$M$7="OK",31&lt;=Creditos!$H$7),MAX(0,L96-N96),"")</f>
        <v/>
      </c>
      <c r="Q96" s="50" t="str">
        <f>IF(AND(Creditos!$C$7&lt;&gt;"",Creditos!$M$7="OK",31&lt;=Creditos!$H$7),IF(AND(E96&lt;Supuestos!$D$6,P96&gt;0.005),Supuestos!$D$6-E96,0),"")</f>
        <v/>
      </c>
      <c r="R96" s="48" t="str">
        <f>IF(AND(Creditos!$C$7&lt;&gt;"",Creditos!$M$7="OK",31&lt;=Creditos!$H$7),MAX(0,N96-L96),"")</f>
        <v/>
      </c>
      <c r="S96" s="46" t="str">
        <f>IF(AND(Creditos!$C$7&lt;&gt;"",Creditos!$M$7="OK",31&lt;=Creditos!$H$7),IF(R96&gt;0.005,"Exceso sin imputar",IF(P96&lt;=0.005,"Pagada",IF(E96&lt;Supuestos!$D$6,"Vencida",IF(E96=Supuestos!$D$6,"Vence hoy","Por vencer")))),"")</f>
        <v/>
      </c>
      <c r="T96" s="46">
        <f>IF(AND(Creditos!$C$7&lt;&gt;"",Creditos!$M$7="OK",31&lt;=Creditos!$H$7),IF(P96&gt;0.005,E96,999999),999999)</f>
        <v>999999</v>
      </c>
    </row>
    <row r="97" ht="25.5" customHeight="1">
      <c r="C97" s="46" t="str">
        <f>IF(AND(Creditos!$C$7&lt;&gt;"",Creditos!$M$7="OK",32&lt;=Creditos!$H$7),Creditos!$C$7,"")</f>
        <v/>
      </c>
      <c r="D97" s="46" t="str">
        <f>IF(AND(Creditos!$C$7&lt;&gt;"",Creditos!$M$7="OK",32&lt;=Creditos!$H$7),32,"")</f>
        <v/>
      </c>
      <c r="E97" s="47" t="str">
        <f>IF(AND(Creditos!$C$7&lt;&gt;"",Creditos!$M$7="OK",32&lt;=Creditos!$H$7),EDATE(Creditos!$I$7,31),"")</f>
        <v/>
      </c>
      <c r="F97" s="48" t="str">
        <f>IF(AND(Creditos!$C$7&lt;&gt;"",Creditos!$M$7="OK",32&lt;=Creditos!$H$7),M96,"")</f>
        <v/>
      </c>
      <c r="G97" s="49" t="str">
        <f>IF(AND(Creditos!$C$7&lt;&gt;"",Creditos!$M$7="OK",32&lt;=Creditos!$H$7),Creditos!$N$7,"")</f>
        <v/>
      </c>
      <c r="H97" s="48" t="str">
        <f>IF(AND(Creditos!$C$7&lt;&gt;"",Creditos!$M$7="OK",32&lt;=Creditos!$H$7),ROUND(F97*G97,2),"")</f>
        <v/>
      </c>
      <c r="I97" s="48" t="str">
        <f>IF(AND(Creditos!$C$7&lt;&gt;"",Creditos!$M$7="OK",32&lt;=Creditos!$H$7),IF(32=Creditos!$H$7,F97+H97,MIN(Creditos!$O$7,F97+H97)),"")</f>
        <v/>
      </c>
      <c r="J97" s="48" t="str">
        <f>IF(AND(Creditos!$C$7&lt;&gt;"",Creditos!$M$7="OK",32&lt;=Creditos!$H$7),MIN(F97,MAX(0,I97-H97)),"")</f>
        <v/>
      </c>
      <c r="K97" s="48" t="str">
        <f>IF(AND(Creditos!$C$7&lt;&gt;"",Creditos!$M$7="OK",32&lt;=Creditos!$H$7),Creditos!$J$7+Creditos!$K$7,"")</f>
        <v/>
      </c>
      <c r="L97" s="48" t="str">
        <f>IF(AND(Creditos!$C$7&lt;&gt;"",Creditos!$M$7="OK",32&lt;=Creditos!$H$7),I97+K97,"")</f>
        <v/>
      </c>
      <c r="M97" s="48" t="str">
        <f>IF(AND(Creditos!$C$7&lt;&gt;"",Creditos!$M$7="OK",32&lt;=Creditos!$H$7),MAX(0,F97-J97),"")</f>
        <v/>
      </c>
      <c r="N97" s="48" t="str">
        <f>IF(AND(Creditos!$C$7&lt;&gt;"",Creditos!$M$7="OK",32&lt;=Creditos!$H$7),SUMIFS(Pagos!$F$6:$F$305,Pagos!$C$6:$C$305,C97,Pagos!$D$6:$D$305,D97,Pagos!$E$6:$E$305,"&lt;="&amp;Supuestos!$D$6,Pagos!$H$6:$H$305,"OK"),"")</f>
        <v/>
      </c>
      <c r="O97" s="48" t="str">
        <f>IF(AND(Creditos!$C$7&lt;&gt;"",Creditos!$M$7="OK",32&lt;=Creditos!$H$7),MIN(J97,MAX(0,N97-K97-H97)),"")</f>
        <v/>
      </c>
      <c r="P97" s="48" t="str">
        <f>IF(AND(Creditos!$C$7&lt;&gt;"",Creditos!$M$7="OK",32&lt;=Creditos!$H$7),MAX(0,L97-N97),"")</f>
        <v/>
      </c>
      <c r="Q97" s="50" t="str">
        <f>IF(AND(Creditos!$C$7&lt;&gt;"",Creditos!$M$7="OK",32&lt;=Creditos!$H$7),IF(AND(E97&lt;Supuestos!$D$6,P97&gt;0.005),Supuestos!$D$6-E97,0),"")</f>
        <v/>
      </c>
      <c r="R97" s="48" t="str">
        <f>IF(AND(Creditos!$C$7&lt;&gt;"",Creditos!$M$7="OK",32&lt;=Creditos!$H$7),MAX(0,N97-L97),"")</f>
        <v/>
      </c>
      <c r="S97" s="46" t="str">
        <f>IF(AND(Creditos!$C$7&lt;&gt;"",Creditos!$M$7="OK",32&lt;=Creditos!$H$7),IF(R97&gt;0.005,"Exceso sin imputar",IF(P97&lt;=0.005,"Pagada",IF(E97&lt;Supuestos!$D$6,"Vencida",IF(E97=Supuestos!$D$6,"Vence hoy","Por vencer")))),"")</f>
        <v/>
      </c>
      <c r="T97" s="46">
        <f>IF(AND(Creditos!$C$7&lt;&gt;"",Creditos!$M$7="OK",32&lt;=Creditos!$H$7),IF(P97&gt;0.005,E97,999999),999999)</f>
        <v>999999</v>
      </c>
    </row>
    <row r="98" ht="25.5" customHeight="1">
      <c r="C98" s="46" t="str">
        <f>IF(AND(Creditos!$C$7&lt;&gt;"",Creditos!$M$7="OK",33&lt;=Creditos!$H$7),Creditos!$C$7,"")</f>
        <v/>
      </c>
      <c r="D98" s="46" t="str">
        <f>IF(AND(Creditos!$C$7&lt;&gt;"",Creditos!$M$7="OK",33&lt;=Creditos!$H$7),33,"")</f>
        <v/>
      </c>
      <c r="E98" s="47" t="str">
        <f>IF(AND(Creditos!$C$7&lt;&gt;"",Creditos!$M$7="OK",33&lt;=Creditos!$H$7),EDATE(Creditos!$I$7,32),"")</f>
        <v/>
      </c>
      <c r="F98" s="48" t="str">
        <f>IF(AND(Creditos!$C$7&lt;&gt;"",Creditos!$M$7="OK",33&lt;=Creditos!$H$7),M97,"")</f>
        <v/>
      </c>
      <c r="G98" s="49" t="str">
        <f>IF(AND(Creditos!$C$7&lt;&gt;"",Creditos!$M$7="OK",33&lt;=Creditos!$H$7),Creditos!$N$7,"")</f>
        <v/>
      </c>
      <c r="H98" s="48" t="str">
        <f>IF(AND(Creditos!$C$7&lt;&gt;"",Creditos!$M$7="OK",33&lt;=Creditos!$H$7),ROUND(F98*G98,2),"")</f>
        <v/>
      </c>
      <c r="I98" s="48" t="str">
        <f>IF(AND(Creditos!$C$7&lt;&gt;"",Creditos!$M$7="OK",33&lt;=Creditos!$H$7),IF(33=Creditos!$H$7,F98+H98,MIN(Creditos!$O$7,F98+H98)),"")</f>
        <v/>
      </c>
      <c r="J98" s="48" t="str">
        <f>IF(AND(Creditos!$C$7&lt;&gt;"",Creditos!$M$7="OK",33&lt;=Creditos!$H$7),MIN(F98,MAX(0,I98-H98)),"")</f>
        <v/>
      </c>
      <c r="K98" s="48" t="str">
        <f>IF(AND(Creditos!$C$7&lt;&gt;"",Creditos!$M$7="OK",33&lt;=Creditos!$H$7),Creditos!$J$7+Creditos!$K$7,"")</f>
        <v/>
      </c>
      <c r="L98" s="48" t="str">
        <f>IF(AND(Creditos!$C$7&lt;&gt;"",Creditos!$M$7="OK",33&lt;=Creditos!$H$7),I98+K98,"")</f>
        <v/>
      </c>
      <c r="M98" s="48" t="str">
        <f>IF(AND(Creditos!$C$7&lt;&gt;"",Creditos!$M$7="OK",33&lt;=Creditos!$H$7),MAX(0,F98-J98),"")</f>
        <v/>
      </c>
      <c r="N98" s="48" t="str">
        <f>IF(AND(Creditos!$C$7&lt;&gt;"",Creditos!$M$7="OK",33&lt;=Creditos!$H$7),SUMIFS(Pagos!$F$6:$F$305,Pagos!$C$6:$C$305,C98,Pagos!$D$6:$D$305,D98,Pagos!$E$6:$E$305,"&lt;="&amp;Supuestos!$D$6,Pagos!$H$6:$H$305,"OK"),"")</f>
        <v/>
      </c>
      <c r="O98" s="48" t="str">
        <f>IF(AND(Creditos!$C$7&lt;&gt;"",Creditos!$M$7="OK",33&lt;=Creditos!$H$7),MIN(J98,MAX(0,N98-K98-H98)),"")</f>
        <v/>
      </c>
      <c r="P98" s="48" t="str">
        <f>IF(AND(Creditos!$C$7&lt;&gt;"",Creditos!$M$7="OK",33&lt;=Creditos!$H$7),MAX(0,L98-N98),"")</f>
        <v/>
      </c>
      <c r="Q98" s="50" t="str">
        <f>IF(AND(Creditos!$C$7&lt;&gt;"",Creditos!$M$7="OK",33&lt;=Creditos!$H$7),IF(AND(E98&lt;Supuestos!$D$6,P98&gt;0.005),Supuestos!$D$6-E98,0),"")</f>
        <v/>
      </c>
      <c r="R98" s="48" t="str">
        <f>IF(AND(Creditos!$C$7&lt;&gt;"",Creditos!$M$7="OK",33&lt;=Creditos!$H$7),MAX(0,N98-L98),"")</f>
        <v/>
      </c>
      <c r="S98" s="46" t="str">
        <f>IF(AND(Creditos!$C$7&lt;&gt;"",Creditos!$M$7="OK",33&lt;=Creditos!$H$7),IF(R98&gt;0.005,"Exceso sin imputar",IF(P98&lt;=0.005,"Pagada",IF(E98&lt;Supuestos!$D$6,"Vencida",IF(E98=Supuestos!$D$6,"Vence hoy","Por vencer")))),"")</f>
        <v/>
      </c>
      <c r="T98" s="46">
        <f>IF(AND(Creditos!$C$7&lt;&gt;"",Creditos!$M$7="OK",33&lt;=Creditos!$H$7),IF(P98&gt;0.005,E98,999999),999999)</f>
        <v>999999</v>
      </c>
    </row>
    <row r="99" ht="25.5" customHeight="1">
      <c r="C99" s="46" t="str">
        <f>IF(AND(Creditos!$C$7&lt;&gt;"",Creditos!$M$7="OK",34&lt;=Creditos!$H$7),Creditos!$C$7,"")</f>
        <v/>
      </c>
      <c r="D99" s="46" t="str">
        <f>IF(AND(Creditos!$C$7&lt;&gt;"",Creditos!$M$7="OK",34&lt;=Creditos!$H$7),34,"")</f>
        <v/>
      </c>
      <c r="E99" s="47" t="str">
        <f>IF(AND(Creditos!$C$7&lt;&gt;"",Creditos!$M$7="OK",34&lt;=Creditos!$H$7),EDATE(Creditos!$I$7,33),"")</f>
        <v/>
      </c>
      <c r="F99" s="48" t="str">
        <f>IF(AND(Creditos!$C$7&lt;&gt;"",Creditos!$M$7="OK",34&lt;=Creditos!$H$7),M98,"")</f>
        <v/>
      </c>
      <c r="G99" s="49" t="str">
        <f>IF(AND(Creditos!$C$7&lt;&gt;"",Creditos!$M$7="OK",34&lt;=Creditos!$H$7),Creditos!$N$7,"")</f>
        <v/>
      </c>
      <c r="H99" s="48" t="str">
        <f>IF(AND(Creditos!$C$7&lt;&gt;"",Creditos!$M$7="OK",34&lt;=Creditos!$H$7),ROUND(F99*G99,2),"")</f>
        <v/>
      </c>
      <c r="I99" s="48" t="str">
        <f>IF(AND(Creditos!$C$7&lt;&gt;"",Creditos!$M$7="OK",34&lt;=Creditos!$H$7),IF(34=Creditos!$H$7,F99+H99,MIN(Creditos!$O$7,F99+H99)),"")</f>
        <v/>
      </c>
      <c r="J99" s="48" t="str">
        <f>IF(AND(Creditos!$C$7&lt;&gt;"",Creditos!$M$7="OK",34&lt;=Creditos!$H$7),MIN(F99,MAX(0,I99-H99)),"")</f>
        <v/>
      </c>
      <c r="K99" s="48" t="str">
        <f>IF(AND(Creditos!$C$7&lt;&gt;"",Creditos!$M$7="OK",34&lt;=Creditos!$H$7),Creditos!$J$7+Creditos!$K$7,"")</f>
        <v/>
      </c>
      <c r="L99" s="48" t="str">
        <f>IF(AND(Creditos!$C$7&lt;&gt;"",Creditos!$M$7="OK",34&lt;=Creditos!$H$7),I99+K99,"")</f>
        <v/>
      </c>
      <c r="M99" s="48" t="str">
        <f>IF(AND(Creditos!$C$7&lt;&gt;"",Creditos!$M$7="OK",34&lt;=Creditos!$H$7),MAX(0,F99-J99),"")</f>
        <v/>
      </c>
      <c r="N99" s="48" t="str">
        <f>IF(AND(Creditos!$C$7&lt;&gt;"",Creditos!$M$7="OK",34&lt;=Creditos!$H$7),SUMIFS(Pagos!$F$6:$F$305,Pagos!$C$6:$C$305,C99,Pagos!$D$6:$D$305,D99,Pagos!$E$6:$E$305,"&lt;="&amp;Supuestos!$D$6,Pagos!$H$6:$H$305,"OK"),"")</f>
        <v/>
      </c>
      <c r="O99" s="48" t="str">
        <f>IF(AND(Creditos!$C$7&lt;&gt;"",Creditos!$M$7="OK",34&lt;=Creditos!$H$7),MIN(J99,MAX(0,N99-K99-H99)),"")</f>
        <v/>
      </c>
      <c r="P99" s="48" t="str">
        <f>IF(AND(Creditos!$C$7&lt;&gt;"",Creditos!$M$7="OK",34&lt;=Creditos!$H$7),MAX(0,L99-N99),"")</f>
        <v/>
      </c>
      <c r="Q99" s="50" t="str">
        <f>IF(AND(Creditos!$C$7&lt;&gt;"",Creditos!$M$7="OK",34&lt;=Creditos!$H$7),IF(AND(E99&lt;Supuestos!$D$6,P99&gt;0.005),Supuestos!$D$6-E99,0),"")</f>
        <v/>
      </c>
      <c r="R99" s="48" t="str">
        <f>IF(AND(Creditos!$C$7&lt;&gt;"",Creditos!$M$7="OK",34&lt;=Creditos!$H$7),MAX(0,N99-L99),"")</f>
        <v/>
      </c>
      <c r="S99" s="46" t="str">
        <f>IF(AND(Creditos!$C$7&lt;&gt;"",Creditos!$M$7="OK",34&lt;=Creditos!$H$7),IF(R99&gt;0.005,"Exceso sin imputar",IF(P99&lt;=0.005,"Pagada",IF(E99&lt;Supuestos!$D$6,"Vencida",IF(E99=Supuestos!$D$6,"Vence hoy","Por vencer")))),"")</f>
        <v/>
      </c>
      <c r="T99" s="46">
        <f>IF(AND(Creditos!$C$7&lt;&gt;"",Creditos!$M$7="OK",34&lt;=Creditos!$H$7),IF(P99&gt;0.005,E99,999999),999999)</f>
        <v>999999</v>
      </c>
    </row>
    <row r="100" ht="25.5" customHeight="1">
      <c r="C100" s="46" t="str">
        <f>IF(AND(Creditos!$C$7&lt;&gt;"",Creditos!$M$7="OK",35&lt;=Creditos!$H$7),Creditos!$C$7,"")</f>
        <v/>
      </c>
      <c r="D100" s="46" t="str">
        <f>IF(AND(Creditos!$C$7&lt;&gt;"",Creditos!$M$7="OK",35&lt;=Creditos!$H$7),35,"")</f>
        <v/>
      </c>
      <c r="E100" s="47" t="str">
        <f>IF(AND(Creditos!$C$7&lt;&gt;"",Creditos!$M$7="OK",35&lt;=Creditos!$H$7),EDATE(Creditos!$I$7,34),"")</f>
        <v/>
      </c>
      <c r="F100" s="48" t="str">
        <f>IF(AND(Creditos!$C$7&lt;&gt;"",Creditos!$M$7="OK",35&lt;=Creditos!$H$7),M99,"")</f>
        <v/>
      </c>
      <c r="G100" s="49" t="str">
        <f>IF(AND(Creditos!$C$7&lt;&gt;"",Creditos!$M$7="OK",35&lt;=Creditos!$H$7),Creditos!$N$7,"")</f>
        <v/>
      </c>
      <c r="H100" s="48" t="str">
        <f>IF(AND(Creditos!$C$7&lt;&gt;"",Creditos!$M$7="OK",35&lt;=Creditos!$H$7),ROUND(F100*G100,2),"")</f>
        <v/>
      </c>
      <c r="I100" s="48" t="str">
        <f>IF(AND(Creditos!$C$7&lt;&gt;"",Creditos!$M$7="OK",35&lt;=Creditos!$H$7),IF(35=Creditos!$H$7,F100+H100,MIN(Creditos!$O$7,F100+H100)),"")</f>
        <v/>
      </c>
      <c r="J100" s="48" t="str">
        <f>IF(AND(Creditos!$C$7&lt;&gt;"",Creditos!$M$7="OK",35&lt;=Creditos!$H$7),MIN(F100,MAX(0,I100-H100)),"")</f>
        <v/>
      </c>
      <c r="K100" s="48" t="str">
        <f>IF(AND(Creditos!$C$7&lt;&gt;"",Creditos!$M$7="OK",35&lt;=Creditos!$H$7),Creditos!$J$7+Creditos!$K$7,"")</f>
        <v/>
      </c>
      <c r="L100" s="48" t="str">
        <f>IF(AND(Creditos!$C$7&lt;&gt;"",Creditos!$M$7="OK",35&lt;=Creditos!$H$7),I100+K100,"")</f>
        <v/>
      </c>
      <c r="M100" s="48" t="str">
        <f>IF(AND(Creditos!$C$7&lt;&gt;"",Creditos!$M$7="OK",35&lt;=Creditos!$H$7),MAX(0,F100-J100),"")</f>
        <v/>
      </c>
      <c r="N100" s="48" t="str">
        <f>IF(AND(Creditos!$C$7&lt;&gt;"",Creditos!$M$7="OK",35&lt;=Creditos!$H$7),SUMIFS(Pagos!$F$6:$F$305,Pagos!$C$6:$C$305,C100,Pagos!$D$6:$D$305,D100,Pagos!$E$6:$E$305,"&lt;="&amp;Supuestos!$D$6,Pagos!$H$6:$H$305,"OK"),"")</f>
        <v/>
      </c>
      <c r="O100" s="48" t="str">
        <f>IF(AND(Creditos!$C$7&lt;&gt;"",Creditos!$M$7="OK",35&lt;=Creditos!$H$7),MIN(J100,MAX(0,N100-K100-H100)),"")</f>
        <v/>
      </c>
      <c r="P100" s="48" t="str">
        <f>IF(AND(Creditos!$C$7&lt;&gt;"",Creditos!$M$7="OK",35&lt;=Creditos!$H$7),MAX(0,L100-N100),"")</f>
        <v/>
      </c>
      <c r="Q100" s="50" t="str">
        <f>IF(AND(Creditos!$C$7&lt;&gt;"",Creditos!$M$7="OK",35&lt;=Creditos!$H$7),IF(AND(E100&lt;Supuestos!$D$6,P100&gt;0.005),Supuestos!$D$6-E100,0),"")</f>
        <v/>
      </c>
      <c r="R100" s="48" t="str">
        <f>IF(AND(Creditos!$C$7&lt;&gt;"",Creditos!$M$7="OK",35&lt;=Creditos!$H$7),MAX(0,N100-L100),"")</f>
        <v/>
      </c>
      <c r="S100" s="46" t="str">
        <f>IF(AND(Creditos!$C$7&lt;&gt;"",Creditos!$M$7="OK",35&lt;=Creditos!$H$7),IF(R100&gt;0.005,"Exceso sin imputar",IF(P100&lt;=0.005,"Pagada",IF(E100&lt;Supuestos!$D$6,"Vencida",IF(E100=Supuestos!$D$6,"Vence hoy","Por vencer")))),"")</f>
        <v/>
      </c>
      <c r="T100" s="46">
        <f>IF(AND(Creditos!$C$7&lt;&gt;"",Creditos!$M$7="OK",35&lt;=Creditos!$H$7),IF(P100&gt;0.005,E100,999999),999999)</f>
        <v>999999</v>
      </c>
    </row>
    <row r="101" ht="25.5" customHeight="1">
      <c r="C101" s="46" t="str">
        <f>IF(AND(Creditos!$C$7&lt;&gt;"",Creditos!$M$7="OK",36&lt;=Creditos!$H$7),Creditos!$C$7,"")</f>
        <v/>
      </c>
      <c r="D101" s="46" t="str">
        <f>IF(AND(Creditos!$C$7&lt;&gt;"",Creditos!$M$7="OK",36&lt;=Creditos!$H$7),36,"")</f>
        <v/>
      </c>
      <c r="E101" s="47" t="str">
        <f>IF(AND(Creditos!$C$7&lt;&gt;"",Creditos!$M$7="OK",36&lt;=Creditos!$H$7),EDATE(Creditos!$I$7,35),"")</f>
        <v/>
      </c>
      <c r="F101" s="48" t="str">
        <f>IF(AND(Creditos!$C$7&lt;&gt;"",Creditos!$M$7="OK",36&lt;=Creditos!$H$7),M100,"")</f>
        <v/>
      </c>
      <c r="G101" s="49" t="str">
        <f>IF(AND(Creditos!$C$7&lt;&gt;"",Creditos!$M$7="OK",36&lt;=Creditos!$H$7),Creditos!$N$7,"")</f>
        <v/>
      </c>
      <c r="H101" s="48" t="str">
        <f>IF(AND(Creditos!$C$7&lt;&gt;"",Creditos!$M$7="OK",36&lt;=Creditos!$H$7),ROUND(F101*G101,2),"")</f>
        <v/>
      </c>
      <c r="I101" s="48" t="str">
        <f>IF(AND(Creditos!$C$7&lt;&gt;"",Creditos!$M$7="OK",36&lt;=Creditos!$H$7),IF(36=Creditos!$H$7,F101+H101,MIN(Creditos!$O$7,F101+H101)),"")</f>
        <v/>
      </c>
      <c r="J101" s="48" t="str">
        <f>IF(AND(Creditos!$C$7&lt;&gt;"",Creditos!$M$7="OK",36&lt;=Creditos!$H$7),MIN(F101,MAX(0,I101-H101)),"")</f>
        <v/>
      </c>
      <c r="K101" s="48" t="str">
        <f>IF(AND(Creditos!$C$7&lt;&gt;"",Creditos!$M$7="OK",36&lt;=Creditos!$H$7),Creditos!$J$7+Creditos!$K$7,"")</f>
        <v/>
      </c>
      <c r="L101" s="48" t="str">
        <f>IF(AND(Creditos!$C$7&lt;&gt;"",Creditos!$M$7="OK",36&lt;=Creditos!$H$7),I101+K101,"")</f>
        <v/>
      </c>
      <c r="M101" s="48" t="str">
        <f>IF(AND(Creditos!$C$7&lt;&gt;"",Creditos!$M$7="OK",36&lt;=Creditos!$H$7),MAX(0,F101-J101),"")</f>
        <v/>
      </c>
      <c r="N101" s="48" t="str">
        <f>IF(AND(Creditos!$C$7&lt;&gt;"",Creditos!$M$7="OK",36&lt;=Creditos!$H$7),SUMIFS(Pagos!$F$6:$F$305,Pagos!$C$6:$C$305,C101,Pagos!$D$6:$D$305,D101,Pagos!$E$6:$E$305,"&lt;="&amp;Supuestos!$D$6,Pagos!$H$6:$H$305,"OK"),"")</f>
        <v/>
      </c>
      <c r="O101" s="48" t="str">
        <f>IF(AND(Creditos!$C$7&lt;&gt;"",Creditos!$M$7="OK",36&lt;=Creditos!$H$7),MIN(J101,MAX(0,N101-K101-H101)),"")</f>
        <v/>
      </c>
      <c r="P101" s="48" t="str">
        <f>IF(AND(Creditos!$C$7&lt;&gt;"",Creditos!$M$7="OK",36&lt;=Creditos!$H$7),MAX(0,L101-N101),"")</f>
        <v/>
      </c>
      <c r="Q101" s="50" t="str">
        <f>IF(AND(Creditos!$C$7&lt;&gt;"",Creditos!$M$7="OK",36&lt;=Creditos!$H$7),IF(AND(E101&lt;Supuestos!$D$6,P101&gt;0.005),Supuestos!$D$6-E101,0),"")</f>
        <v/>
      </c>
      <c r="R101" s="48" t="str">
        <f>IF(AND(Creditos!$C$7&lt;&gt;"",Creditos!$M$7="OK",36&lt;=Creditos!$H$7),MAX(0,N101-L101),"")</f>
        <v/>
      </c>
      <c r="S101" s="46" t="str">
        <f>IF(AND(Creditos!$C$7&lt;&gt;"",Creditos!$M$7="OK",36&lt;=Creditos!$H$7),IF(R101&gt;0.005,"Exceso sin imputar",IF(P101&lt;=0.005,"Pagada",IF(E101&lt;Supuestos!$D$6,"Vencida",IF(E101=Supuestos!$D$6,"Vence hoy","Por vencer")))),"")</f>
        <v/>
      </c>
      <c r="T101" s="46">
        <f>IF(AND(Creditos!$C$7&lt;&gt;"",Creditos!$M$7="OK",36&lt;=Creditos!$H$7),IF(P101&gt;0.005,E101,999999),999999)</f>
        <v>999999</v>
      </c>
    </row>
    <row r="102" ht="25.5" customHeight="1">
      <c r="C102" s="46" t="str">
        <f>IF(AND(Creditos!$C$7&lt;&gt;"",Creditos!$M$7="OK",37&lt;=Creditos!$H$7),Creditos!$C$7,"")</f>
        <v/>
      </c>
      <c r="D102" s="46" t="str">
        <f>IF(AND(Creditos!$C$7&lt;&gt;"",Creditos!$M$7="OK",37&lt;=Creditos!$H$7),37,"")</f>
        <v/>
      </c>
      <c r="E102" s="47" t="str">
        <f>IF(AND(Creditos!$C$7&lt;&gt;"",Creditos!$M$7="OK",37&lt;=Creditos!$H$7),EDATE(Creditos!$I$7,36),"")</f>
        <v/>
      </c>
      <c r="F102" s="48" t="str">
        <f>IF(AND(Creditos!$C$7&lt;&gt;"",Creditos!$M$7="OK",37&lt;=Creditos!$H$7),M101,"")</f>
        <v/>
      </c>
      <c r="G102" s="49" t="str">
        <f>IF(AND(Creditos!$C$7&lt;&gt;"",Creditos!$M$7="OK",37&lt;=Creditos!$H$7),Creditos!$N$7,"")</f>
        <v/>
      </c>
      <c r="H102" s="48" t="str">
        <f>IF(AND(Creditos!$C$7&lt;&gt;"",Creditos!$M$7="OK",37&lt;=Creditos!$H$7),ROUND(F102*G102,2),"")</f>
        <v/>
      </c>
      <c r="I102" s="48" t="str">
        <f>IF(AND(Creditos!$C$7&lt;&gt;"",Creditos!$M$7="OK",37&lt;=Creditos!$H$7),IF(37=Creditos!$H$7,F102+H102,MIN(Creditos!$O$7,F102+H102)),"")</f>
        <v/>
      </c>
      <c r="J102" s="48" t="str">
        <f>IF(AND(Creditos!$C$7&lt;&gt;"",Creditos!$M$7="OK",37&lt;=Creditos!$H$7),MIN(F102,MAX(0,I102-H102)),"")</f>
        <v/>
      </c>
      <c r="K102" s="48" t="str">
        <f>IF(AND(Creditos!$C$7&lt;&gt;"",Creditos!$M$7="OK",37&lt;=Creditos!$H$7),Creditos!$J$7+Creditos!$K$7,"")</f>
        <v/>
      </c>
      <c r="L102" s="48" t="str">
        <f>IF(AND(Creditos!$C$7&lt;&gt;"",Creditos!$M$7="OK",37&lt;=Creditos!$H$7),I102+K102,"")</f>
        <v/>
      </c>
      <c r="M102" s="48" t="str">
        <f>IF(AND(Creditos!$C$7&lt;&gt;"",Creditos!$M$7="OK",37&lt;=Creditos!$H$7),MAX(0,F102-J102),"")</f>
        <v/>
      </c>
      <c r="N102" s="48" t="str">
        <f>IF(AND(Creditos!$C$7&lt;&gt;"",Creditos!$M$7="OK",37&lt;=Creditos!$H$7),SUMIFS(Pagos!$F$6:$F$305,Pagos!$C$6:$C$305,C102,Pagos!$D$6:$D$305,D102,Pagos!$E$6:$E$305,"&lt;="&amp;Supuestos!$D$6,Pagos!$H$6:$H$305,"OK"),"")</f>
        <v/>
      </c>
      <c r="O102" s="48" t="str">
        <f>IF(AND(Creditos!$C$7&lt;&gt;"",Creditos!$M$7="OK",37&lt;=Creditos!$H$7),MIN(J102,MAX(0,N102-K102-H102)),"")</f>
        <v/>
      </c>
      <c r="P102" s="48" t="str">
        <f>IF(AND(Creditos!$C$7&lt;&gt;"",Creditos!$M$7="OK",37&lt;=Creditos!$H$7),MAX(0,L102-N102),"")</f>
        <v/>
      </c>
      <c r="Q102" s="50" t="str">
        <f>IF(AND(Creditos!$C$7&lt;&gt;"",Creditos!$M$7="OK",37&lt;=Creditos!$H$7),IF(AND(E102&lt;Supuestos!$D$6,P102&gt;0.005),Supuestos!$D$6-E102,0),"")</f>
        <v/>
      </c>
      <c r="R102" s="48" t="str">
        <f>IF(AND(Creditos!$C$7&lt;&gt;"",Creditos!$M$7="OK",37&lt;=Creditos!$H$7),MAX(0,N102-L102),"")</f>
        <v/>
      </c>
      <c r="S102" s="46" t="str">
        <f>IF(AND(Creditos!$C$7&lt;&gt;"",Creditos!$M$7="OK",37&lt;=Creditos!$H$7),IF(R102&gt;0.005,"Exceso sin imputar",IF(P102&lt;=0.005,"Pagada",IF(E102&lt;Supuestos!$D$6,"Vencida",IF(E102=Supuestos!$D$6,"Vence hoy","Por vencer")))),"")</f>
        <v/>
      </c>
      <c r="T102" s="46">
        <f>IF(AND(Creditos!$C$7&lt;&gt;"",Creditos!$M$7="OK",37&lt;=Creditos!$H$7),IF(P102&gt;0.005,E102,999999),999999)</f>
        <v>999999</v>
      </c>
    </row>
    <row r="103" ht="25.5" customHeight="1">
      <c r="C103" s="46" t="str">
        <f>IF(AND(Creditos!$C$7&lt;&gt;"",Creditos!$M$7="OK",38&lt;=Creditos!$H$7),Creditos!$C$7,"")</f>
        <v/>
      </c>
      <c r="D103" s="46" t="str">
        <f>IF(AND(Creditos!$C$7&lt;&gt;"",Creditos!$M$7="OK",38&lt;=Creditos!$H$7),38,"")</f>
        <v/>
      </c>
      <c r="E103" s="47" t="str">
        <f>IF(AND(Creditos!$C$7&lt;&gt;"",Creditos!$M$7="OK",38&lt;=Creditos!$H$7),EDATE(Creditos!$I$7,37),"")</f>
        <v/>
      </c>
      <c r="F103" s="48" t="str">
        <f>IF(AND(Creditos!$C$7&lt;&gt;"",Creditos!$M$7="OK",38&lt;=Creditos!$H$7),M102,"")</f>
        <v/>
      </c>
      <c r="G103" s="49" t="str">
        <f>IF(AND(Creditos!$C$7&lt;&gt;"",Creditos!$M$7="OK",38&lt;=Creditos!$H$7),Creditos!$N$7,"")</f>
        <v/>
      </c>
      <c r="H103" s="48" t="str">
        <f>IF(AND(Creditos!$C$7&lt;&gt;"",Creditos!$M$7="OK",38&lt;=Creditos!$H$7),ROUND(F103*G103,2),"")</f>
        <v/>
      </c>
      <c r="I103" s="48" t="str">
        <f>IF(AND(Creditos!$C$7&lt;&gt;"",Creditos!$M$7="OK",38&lt;=Creditos!$H$7),IF(38=Creditos!$H$7,F103+H103,MIN(Creditos!$O$7,F103+H103)),"")</f>
        <v/>
      </c>
      <c r="J103" s="48" t="str">
        <f>IF(AND(Creditos!$C$7&lt;&gt;"",Creditos!$M$7="OK",38&lt;=Creditos!$H$7),MIN(F103,MAX(0,I103-H103)),"")</f>
        <v/>
      </c>
      <c r="K103" s="48" t="str">
        <f>IF(AND(Creditos!$C$7&lt;&gt;"",Creditos!$M$7="OK",38&lt;=Creditos!$H$7),Creditos!$J$7+Creditos!$K$7,"")</f>
        <v/>
      </c>
      <c r="L103" s="48" t="str">
        <f>IF(AND(Creditos!$C$7&lt;&gt;"",Creditos!$M$7="OK",38&lt;=Creditos!$H$7),I103+K103,"")</f>
        <v/>
      </c>
      <c r="M103" s="48" t="str">
        <f>IF(AND(Creditos!$C$7&lt;&gt;"",Creditos!$M$7="OK",38&lt;=Creditos!$H$7),MAX(0,F103-J103),"")</f>
        <v/>
      </c>
      <c r="N103" s="48" t="str">
        <f>IF(AND(Creditos!$C$7&lt;&gt;"",Creditos!$M$7="OK",38&lt;=Creditos!$H$7),SUMIFS(Pagos!$F$6:$F$305,Pagos!$C$6:$C$305,C103,Pagos!$D$6:$D$305,D103,Pagos!$E$6:$E$305,"&lt;="&amp;Supuestos!$D$6,Pagos!$H$6:$H$305,"OK"),"")</f>
        <v/>
      </c>
      <c r="O103" s="48" t="str">
        <f>IF(AND(Creditos!$C$7&lt;&gt;"",Creditos!$M$7="OK",38&lt;=Creditos!$H$7),MIN(J103,MAX(0,N103-K103-H103)),"")</f>
        <v/>
      </c>
      <c r="P103" s="48" t="str">
        <f>IF(AND(Creditos!$C$7&lt;&gt;"",Creditos!$M$7="OK",38&lt;=Creditos!$H$7),MAX(0,L103-N103),"")</f>
        <v/>
      </c>
      <c r="Q103" s="50" t="str">
        <f>IF(AND(Creditos!$C$7&lt;&gt;"",Creditos!$M$7="OK",38&lt;=Creditos!$H$7),IF(AND(E103&lt;Supuestos!$D$6,P103&gt;0.005),Supuestos!$D$6-E103,0),"")</f>
        <v/>
      </c>
      <c r="R103" s="48" t="str">
        <f>IF(AND(Creditos!$C$7&lt;&gt;"",Creditos!$M$7="OK",38&lt;=Creditos!$H$7),MAX(0,N103-L103),"")</f>
        <v/>
      </c>
      <c r="S103" s="46" t="str">
        <f>IF(AND(Creditos!$C$7&lt;&gt;"",Creditos!$M$7="OK",38&lt;=Creditos!$H$7),IF(R103&gt;0.005,"Exceso sin imputar",IF(P103&lt;=0.005,"Pagada",IF(E103&lt;Supuestos!$D$6,"Vencida",IF(E103=Supuestos!$D$6,"Vence hoy","Por vencer")))),"")</f>
        <v/>
      </c>
      <c r="T103" s="46">
        <f>IF(AND(Creditos!$C$7&lt;&gt;"",Creditos!$M$7="OK",38&lt;=Creditos!$H$7),IF(P103&gt;0.005,E103,999999),999999)</f>
        <v>999999</v>
      </c>
    </row>
    <row r="104" ht="25.5" customHeight="1">
      <c r="C104" s="46" t="str">
        <f>IF(AND(Creditos!$C$7&lt;&gt;"",Creditos!$M$7="OK",39&lt;=Creditos!$H$7),Creditos!$C$7,"")</f>
        <v/>
      </c>
      <c r="D104" s="46" t="str">
        <f>IF(AND(Creditos!$C$7&lt;&gt;"",Creditos!$M$7="OK",39&lt;=Creditos!$H$7),39,"")</f>
        <v/>
      </c>
      <c r="E104" s="47" t="str">
        <f>IF(AND(Creditos!$C$7&lt;&gt;"",Creditos!$M$7="OK",39&lt;=Creditos!$H$7),EDATE(Creditos!$I$7,38),"")</f>
        <v/>
      </c>
      <c r="F104" s="48" t="str">
        <f>IF(AND(Creditos!$C$7&lt;&gt;"",Creditos!$M$7="OK",39&lt;=Creditos!$H$7),M103,"")</f>
        <v/>
      </c>
      <c r="G104" s="49" t="str">
        <f>IF(AND(Creditos!$C$7&lt;&gt;"",Creditos!$M$7="OK",39&lt;=Creditos!$H$7),Creditos!$N$7,"")</f>
        <v/>
      </c>
      <c r="H104" s="48" t="str">
        <f>IF(AND(Creditos!$C$7&lt;&gt;"",Creditos!$M$7="OK",39&lt;=Creditos!$H$7),ROUND(F104*G104,2),"")</f>
        <v/>
      </c>
      <c r="I104" s="48" t="str">
        <f>IF(AND(Creditos!$C$7&lt;&gt;"",Creditos!$M$7="OK",39&lt;=Creditos!$H$7),IF(39=Creditos!$H$7,F104+H104,MIN(Creditos!$O$7,F104+H104)),"")</f>
        <v/>
      </c>
      <c r="J104" s="48" t="str">
        <f>IF(AND(Creditos!$C$7&lt;&gt;"",Creditos!$M$7="OK",39&lt;=Creditos!$H$7),MIN(F104,MAX(0,I104-H104)),"")</f>
        <v/>
      </c>
      <c r="K104" s="48" t="str">
        <f>IF(AND(Creditos!$C$7&lt;&gt;"",Creditos!$M$7="OK",39&lt;=Creditos!$H$7),Creditos!$J$7+Creditos!$K$7,"")</f>
        <v/>
      </c>
      <c r="L104" s="48" t="str">
        <f>IF(AND(Creditos!$C$7&lt;&gt;"",Creditos!$M$7="OK",39&lt;=Creditos!$H$7),I104+K104,"")</f>
        <v/>
      </c>
      <c r="M104" s="48" t="str">
        <f>IF(AND(Creditos!$C$7&lt;&gt;"",Creditos!$M$7="OK",39&lt;=Creditos!$H$7),MAX(0,F104-J104),"")</f>
        <v/>
      </c>
      <c r="N104" s="48" t="str">
        <f>IF(AND(Creditos!$C$7&lt;&gt;"",Creditos!$M$7="OK",39&lt;=Creditos!$H$7),SUMIFS(Pagos!$F$6:$F$305,Pagos!$C$6:$C$305,C104,Pagos!$D$6:$D$305,D104,Pagos!$E$6:$E$305,"&lt;="&amp;Supuestos!$D$6,Pagos!$H$6:$H$305,"OK"),"")</f>
        <v/>
      </c>
      <c r="O104" s="48" t="str">
        <f>IF(AND(Creditos!$C$7&lt;&gt;"",Creditos!$M$7="OK",39&lt;=Creditos!$H$7),MIN(J104,MAX(0,N104-K104-H104)),"")</f>
        <v/>
      </c>
      <c r="P104" s="48" t="str">
        <f>IF(AND(Creditos!$C$7&lt;&gt;"",Creditos!$M$7="OK",39&lt;=Creditos!$H$7),MAX(0,L104-N104),"")</f>
        <v/>
      </c>
      <c r="Q104" s="50" t="str">
        <f>IF(AND(Creditos!$C$7&lt;&gt;"",Creditos!$M$7="OK",39&lt;=Creditos!$H$7),IF(AND(E104&lt;Supuestos!$D$6,P104&gt;0.005),Supuestos!$D$6-E104,0),"")</f>
        <v/>
      </c>
      <c r="R104" s="48" t="str">
        <f>IF(AND(Creditos!$C$7&lt;&gt;"",Creditos!$M$7="OK",39&lt;=Creditos!$H$7),MAX(0,N104-L104),"")</f>
        <v/>
      </c>
      <c r="S104" s="46" t="str">
        <f>IF(AND(Creditos!$C$7&lt;&gt;"",Creditos!$M$7="OK",39&lt;=Creditos!$H$7),IF(R104&gt;0.005,"Exceso sin imputar",IF(P104&lt;=0.005,"Pagada",IF(E104&lt;Supuestos!$D$6,"Vencida",IF(E104=Supuestos!$D$6,"Vence hoy","Por vencer")))),"")</f>
        <v/>
      </c>
      <c r="T104" s="46">
        <f>IF(AND(Creditos!$C$7&lt;&gt;"",Creditos!$M$7="OK",39&lt;=Creditos!$H$7),IF(P104&gt;0.005,E104,999999),999999)</f>
        <v>999999</v>
      </c>
    </row>
    <row r="105" ht="25.5" customHeight="1">
      <c r="C105" s="46" t="str">
        <f>IF(AND(Creditos!$C$7&lt;&gt;"",Creditos!$M$7="OK",40&lt;=Creditos!$H$7),Creditos!$C$7,"")</f>
        <v/>
      </c>
      <c r="D105" s="46" t="str">
        <f>IF(AND(Creditos!$C$7&lt;&gt;"",Creditos!$M$7="OK",40&lt;=Creditos!$H$7),40,"")</f>
        <v/>
      </c>
      <c r="E105" s="47" t="str">
        <f>IF(AND(Creditos!$C$7&lt;&gt;"",Creditos!$M$7="OK",40&lt;=Creditos!$H$7),EDATE(Creditos!$I$7,39),"")</f>
        <v/>
      </c>
      <c r="F105" s="48" t="str">
        <f>IF(AND(Creditos!$C$7&lt;&gt;"",Creditos!$M$7="OK",40&lt;=Creditos!$H$7),M104,"")</f>
        <v/>
      </c>
      <c r="G105" s="49" t="str">
        <f>IF(AND(Creditos!$C$7&lt;&gt;"",Creditos!$M$7="OK",40&lt;=Creditos!$H$7),Creditos!$N$7,"")</f>
        <v/>
      </c>
      <c r="H105" s="48" t="str">
        <f>IF(AND(Creditos!$C$7&lt;&gt;"",Creditos!$M$7="OK",40&lt;=Creditos!$H$7),ROUND(F105*G105,2),"")</f>
        <v/>
      </c>
      <c r="I105" s="48" t="str">
        <f>IF(AND(Creditos!$C$7&lt;&gt;"",Creditos!$M$7="OK",40&lt;=Creditos!$H$7),IF(40=Creditos!$H$7,F105+H105,MIN(Creditos!$O$7,F105+H105)),"")</f>
        <v/>
      </c>
      <c r="J105" s="48" t="str">
        <f>IF(AND(Creditos!$C$7&lt;&gt;"",Creditos!$M$7="OK",40&lt;=Creditos!$H$7),MIN(F105,MAX(0,I105-H105)),"")</f>
        <v/>
      </c>
      <c r="K105" s="48" t="str">
        <f>IF(AND(Creditos!$C$7&lt;&gt;"",Creditos!$M$7="OK",40&lt;=Creditos!$H$7),Creditos!$J$7+Creditos!$K$7,"")</f>
        <v/>
      </c>
      <c r="L105" s="48" t="str">
        <f>IF(AND(Creditos!$C$7&lt;&gt;"",Creditos!$M$7="OK",40&lt;=Creditos!$H$7),I105+K105,"")</f>
        <v/>
      </c>
      <c r="M105" s="48" t="str">
        <f>IF(AND(Creditos!$C$7&lt;&gt;"",Creditos!$M$7="OK",40&lt;=Creditos!$H$7),MAX(0,F105-J105),"")</f>
        <v/>
      </c>
      <c r="N105" s="48" t="str">
        <f>IF(AND(Creditos!$C$7&lt;&gt;"",Creditos!$M$7="OK",40&lt;=Creditos!$H$7),SUMIFS(Pagos!$F$6:$F$305,Pagos!$C$6:$C$305,C105,Pagos!$D$6:$D$305,D105,Pagos!$E$6:$E$305,"&lt;="&amp;Supuestos!$D$6,Pagos!$H$6:$H$305,"OK"),"")</f>
        <v/>
      </c>
      <c r="O105" s="48" t="str">
        <f>IF(AND(Creditos!$C$7&lt;&gt;"",Creditos!$M$7="OK",40&lt;=Creditos!$H$7),MIN(J105,MAX(0,N105-K105-H105)),"")</f>
        <v/>
      </c>
      <c r="P105" s="48" t="str">
        <f>IF(AND(Creditos!$C$7&lt;&gt;"",Creditos!$M$7="OK",40&lt;=Creditos!$H$7),MAX(0,L105-N105),"")</f>
        <v/>
      </c>
      <c r="Q105" s="50" t="str">
        <f>IF(AND(Creditos!$C$7&lt;&gt;"",Creditos!$M$7="OK",40&lt;=Creditos!$H$7),IF(AND(E105&lt;Supuestos!$D$6,P105&gt;0.005),Supuestos!$D$6-E105,0),"")</f>
        <v/>
      </c>
      <c r="R105" s="48" t="str">
        <f>IF(AND(Creditos!$C$7&lt;&gt;"",Creditos!$M$7="OK",40&lt;=Creditos!$H$7),MAX(0,N105-L105),"")</f>
        <v/>
      </c>
      <c r="S105" s="46" t="str">
        <f>IF(AND(Creditos!$C$7&lt;&gt;"",Creditos!$M$7="OK",40&lt;=Creditos!$H$7),IF(R105&gt;0.005,"Exceso sin imputar",IF(P105&lt;=0.005,"Pagada",IF(E105&lt;Supuestos!$D$6,"Vencida",IF(E105=Supuestos!$D$6,"Vence hoy","Por vencer")))),"")</f>
        <v/>
      </c>
      <c r="T105" s="46">
        <f>IF(AND(Creditos!$C$7&lt;&gt;"",Creditos!$M$7="OK",40&lt;=Creditos!$H$7),IF(P105&gt;0.005,E105,999999),999999)</f>
        <v>999999</v>
      </c>
    </row>
    <row r="106" ht="25.5" customHeight="1">
      <c r="C106" s="46" t="str">
        <f>IF(AND(Creditos!$C$7&lt;&gt;"",Creditos!$M$7="OK",41&lt;=Creditos!$H$7),Creditos!$C$7,"")</f>
        <v/>
      </c>
      <c r="D106" s="46" t="str">
        <f>IF(AND(Creditos!$C$7&lt;&gt;"",Creditos!$M$7="OK",41&lt;=Creditos!$H$7),41,"")</f>
        <v/>
      </c>
      <c r="E106" s="47" t="str">
        <f>IF(AND(Creditos!$C$7&lt;&gt;"",Creditos!$M$7="OK",41&lt;=Creditos!$H$7),EDATE(Creditos!$I$7,40),"")</f>
        <v/>
      </c>
      <c r="F106" s="48" t="str">
        <f>IF(AND(Creditos!$C$7&lt;&gt;"",Creditos!$M$7="OK",41&lt;=Creditos!$H$7),M105,"")</f>
        <v/>
      </c>
      <c r="G106" s="49" t="str">
        <f>IF(AND(Creditos!$C$7&lt;&gt;"",Creditos!$M$7="OK",41&lt;=Creditos!$H$7),Creditos!$N$7,"")</f>
        <v/>
      </c>
      <c r="H106" s="48" t="str">
        <f>IF(AND(Creditos!$C$7&lt;&gt;"",Creditos!$M$7="OK",41&lt;=Creditos!$H$7),ROUND(F106*G106,2),"")</f>
        <v/>
      </c>
      <c r="I106" s="48" t="str">
        <f>IF(AND(Creditos!$C$7&lt;&gt;"",Creditos!$M$7="OK",41&lt;=Creditos!$H$7),IF(41=Creditos!$H$7,F106+H106,MIN(Creditos!$O$7,F106+H106)),"")</f>
        <v/>
      </c>
      <c r="J106" s="48" t="str">
        <f>IF(AND(Creditos!$C$7&lt;&gt;"",Creditos!$M$7="OK",41&lt;=Creditos!$H$7),MIN(F106,MAX(0,I106-H106)),"")</f>
        <v/>
      </c>
      <c r="K106" s="48" t="str">
        <f>IF(AND(Creditos!$C$7&lt;&gt;"",Creditos!$M$7="OK",41&lt;=Creditos!$H$7),Creditos!$J$7+Creditos!$K$7,"")</f>
        <v/>
      </c>
      <c r="L106" s="48" t="str">
        <f>IF(AND(Creditos!$C$7&lt;&gt;"",Creditos!$M$7="OK",41&lt;=Creditos!$H$7),I106+K106,"")</f>
        <v/>
      </c>
      <c r="M106" s="48" t="str">
        <f>IF(AND(Creditos!$C$7&lt;&gt;"",Creditos!$M$7="OK",41&lt;=Creditos!$H$7),MAX(0,F106-J106),"")</f>
        <v/>
      </c>
      <c r="N106" s="48" t="str">
        <f>IF(AND(Creditos!$C$7&lt;&gt;"",Creditos!$M$7="OK",41&lt;=Creditos!$H$7),SUMIFS(Pagos!$F$6:$F$305,Pagos!$C$6:$C$305,C106,Pagos!$D$6:$D$305,D106,Pagos!$E$6:$E$305,"&lt;="&amp;Supuestos!$D$6,Pagos!$H$6:$H$305,"OK"),"")</f>
        <v/>
      </c>
      <c r="O106" s="48" t="str">
        <f>IF(AND(Creditos!$C$7&lt;&gt;"",Creditos!$M$7="OK",41&lt;=Creditos!$H$7),MIN(J106,MAX(0,N106-K106-H106)),"")</f>
        <v/>
      </c>
      <c r="P106" s="48" t="str">
        <f>IF(AND(Creditos!$C$7&lt;&gt;"",Creditos!$M$7="OK",41&lt;=Creditos!$H$7),MAX(0,L106-N106),"")</f>
        <v/>
      </c>
      <c r="Q106" s="50" t="str">
        <f>IF(AND(Creditos!$C$7&lt;&gt;"",Creditos!$M$7="OK",41&lt;=Creditos!$H$7),IF(AND(E106&lt;Supuestos!$D$6,P106&gt;0.005),Supuestos!$D$6-E106,0),"")</f>
        <v/>
      </c>
      <c r="R106" s="48" t="str">
        <f>IF(AND(Creditos!$C$7&lt;&gt;"",Creditos!$M$7="OK",41&lt;=Creditos!$H$7),MAX(0,N106-L106),"")</f>
        <v/>
      </c>
      <c r="S106" s="46" t="str">
        <f>IF(AND(Creditos!$C$7&lt;&gt;"",Creditos!$M$7="OK",41&lt;=Creditos!$H$7),IF(R106&gt;0.005,"Exceso sin imputar",IF(P106&lt;=0.005,"Pagada",IF(E106&lt;Supuestos!$D$6,"Vencida",IF(E106=Supuestos!$D$6,"Vence hoy","Por vencer")))),"")</f>
        <v/>
      </c>
      <c r="T106" s="46">
        <f>IF(AND(Creditos!$C$7&lt;&gt;"",Creditos!$M$7="OK",41&lt;=Creditos!$H$7),IF(P106&gt;0.005,E106,999999),999999)</f>
        <v>999999</v>
      </c>
    </row>
    <row r="107" ht="25.5" customHeight="1">
      <c r="C107" s="46" t="str">
        <f>IF(AND(Creditos!$C$7&lt;&gt;"",Creditos!$M$7="OK",42&lt;=Creditos!$H$7),Creditos!$C$7,"")</f>
        <v/>
      </c>
      <c r="D107" s="46" t="str">
        <f>IF(AND(Creditos!$C$7&lt;&gt;"",Creditos!$M$7="OK",42&lt;=Creditos!$H$7),42,"")</f>
        <v/>
      </c>
      <c r="E107" s="47" t="str">
        <f>IF(AND(Creditos!$C$7&lt;&gt;"",Creditos!$M$7="OK",42&lt;=Creditos!$H$7),EDATE(Creditos!$I$7,41),"")</f>
        <v/>
      </c>
      <c r="F107" s="48" t="str">
        <f>IF(AND(Creditos!$C$7&lt;&gt;"",Creditos!$M$7="OK",42&lt;=Creditos!$H$7),M106,"")</f>
        <v/>
      </c>
      <c r="G107" s="49" t="str">
        <f>IF(AND(Creditos!$C$7&lt;&gt;"",Creditos!$M$7="OK",42&lt;=Creditos!$H$7),Creditos!$N$7,"")</f>
        <v/>
      </c>
      <c r="H107" s="48" t="str">
        <f>IF(AND(Creditos!$C$7&lt;&gt;"",Creditos!$M$7="OK",42&lt;=Creditos!$H$7),ROUND(F107*G107,2),"")</f>
        <v/>
      </c>
      <c r="I107" s="48" t="str">
        <f>IF(AND(Creditos!$C$7&lt;&gt;"",Creditos!$M$7="OK",42&lt;=Creditos!$H$7),IF(42=Creditos!$H$7,F107+H107,MIN(Creditos!$O$7,F107+H107)),"")</f>
        <v/>
      </c>
      <c r="J107" s="48" t="str">
        <f>IF(AND(Creditos!$C$7&lt;&gt;"",Creditos!$M$7="OK",42&lt;=Creditos!$H$7),MIN(F107,MAX(0,I107-H107)),"")</f>
        <v/>
      </c>
      <c r="K107" s="48" t="str">
        <f>IF(AND(Creditos!$C$7&lt;&gt;"",Creditos!$M$7="OK",42&lt;=Creditos!$H$7),Creditos!$J$7+Creditos!$K$7,"")</f>
        <v/>
      </c>
      <c r="L107" s="48" t="str">
        <f>IF(AND(Creditos!$C$7&lt;&gt;"",Creditos!$M$7="OK",42&lt;=Creditos!$H$7),I107+K107,"")</f>
        <v/>
      </c>
      <c r="M107" s="48" t="str">
        <f>IF(AND(Creditos!$C$7&lt;&gt;"",Creditos!$M$7="OK",42&lt;=Creditos!$H$7),MAX(0,F107-J107),"")</f>
        <v/>
      </c>
      <c r="N107" s="48" t="str">
        <f>IF(AND(Creditos!$C$7&lt;&gt;"",Creditos!$M$7="OK",42&lt;=Creditos!$H$7),SUMIFS(Pagos!$F$6:$F$305,Pagos!$C$6:$C$305,C107,Pagos!$D$6:$D$305,D107,Pagos!$E$6:$E$305,"&lt;="&amp;Supuestos!$D$6,Pagos!$H$6:$H$305,"OK"),"")</f>
        <v/>
      </c>
      <c r="O107" s="48" t="str">
        <f>IF(AND(Creditos!$C$7&lt;&gt;"",Creditos!$M$7="OK",42&lt;=Creditos!$H$7),MIN(J107,MAX(0,N107-K107-H107)),"")</f>
        <v/>
      </c>
      <c r="P107" s="48" t="str">
        <f>IF(AND(Creditos!$C$7&lt;&gt;"",Creditos!$M$7="OK",42&lt;=Creditos!$H$7),MAX(0,L107-N107),"")</f>
        <v/>
      </c>
      <c r="Q107" s="50" t="str">
        <f>IF(AND(Creditos!$C$7&lt;&gt;"",Creditos!$M$7="OK",42&lt;=Creditos!$H$7),IF(AND(E107&lt;Supuestos!$D$6,P107&gt;0.005),Supuestos!$D$6-E107,0),"")</f>
        <v/>
      </c>
      <c r="R107" s="48" t="str">
        <f>IF(AND(Creditos!$C$7&lt;&gt;"",Creditos!$M$7="OK",42&lt;=Creditos!$H$7),MAX(0,N107-L107),"")</f>
        <v/>
      </c>
      <c r="S107" s="46" t="str">
        <f>IF(AND(Creditos!$C$7&lt;&gt;"",Creditos!$M$7="OK",42&lt;=Creditos!$H$7),IF(R107&gt;0.005,"Exceso sin imputar",IF(P107&lt;=0.005,"Pagada",IF(E107&lt;Supuestos!$D$6,"Vencida",IF(E107=Supuestos!$D$6,"Vence hoy","Por vencer")))),"")</f>
        <v/>
      </c>
      <c r="T107" s="46">
        <f>IF(AND(Creditos!$C$7&lt;&gt;"",Creditos!$M$7="OK",42&lt;=Creditos!$H$7),IF(P107&gt;0.005,E107,999999),999999)</f>
        <v>999999</v>
      </c>
    </row>
    <row r="108" ht="25.5" customHeight="1">
      <c r="C108" s="46" t="str">
        <f>IF(AND(Creditos!$C$7&lt;&gt;"",Creditos!$M$7="OK",43&lt;=Creditos!$H$7),Creditos!$C$7,"")</f>
        <v/>
      </c>
      <c r="D108" s="46" t="str">
        <f>IF(AND(Creditos!$C$7&lt;&gt;"",Creditos!$M$7="OK",43&lt;=Creditos!$H$7),43,"")</f>
        <v/>
      </c>
      <c r="E108" s="47" t="str">
        <f>IF(AND(Creditos!$C$7&lt;&gt;"",Creditos!$M$7="OK",43&lt;=Creditos!$H$7),EDATE(Creditos!$I$7,42),"")</f>
        <v/>
      </c>
      <c r="F108" s="48" t="str">
        <f>IF(AND(Creditos!$C$7&lt;&gt;"",Creditos!$M$7="OK",43&lt;=Creditos!$H$7),M107,"")</f>
        <v/>
      </c>
      <c r="G108" s="49" t="str">
        <f>IF(AND(Creditos!$C$7&lt;&gt;"",Creditos!$M$7="OK",43&lt;=Creditos!$H$7),Creditos!$N$7,"")</f>
        <v/>
      </c>
      <c r="H108" s="48" t="str">
        <f>IF(AND(Creditos!$C$7&lt;&gt;"",Creditos!$M$7="OK",43&lt;=Creditos!$H$7),ROUND(F108*G108,2),"")</f>
        <v/>
      </c>
      <c r="I108" s="48" t="str">
        <f>IF(AND(Creditos!$C$7&lt;&gt;"",Creditos!$M$7="OK",43&lt;=Creditos!$H$7),IF(43=Creditos!$H$7,F108+H108,MIN(Creditos!$O$7,F108+H108)),"")</f>
        <v/>
      </c>
      <c r="J108" s="48" t="str">
        <f>IF(AND(Creditos!$C$7&lt;&gt;"",Creditos!$M$7="OK",43&lt;=Creditos!$H$7),MIN(F108,MAX(0,I108-H108)),"")</f>
        <v/>
      </c>
      <c r="K108" s="48" t="str">
        <f>IF(AND(Creditos!$C$7&lt;&gt;"",Creditos!$M$7="OK",43&lt;=Creditos!$H$7),Creditos!$J$7+Creditos!$K$7,"")</f>
        <v/>
      </c>
      <c r="L108" s="48" t="str">
        <f>IF(AND(Creditos!$C$7&lt;&gt;"",Creditos!$M$7="OK",43&lt;=Creditos!$H$7),I108+K108,"")</f>
        <v/>
      </c>
      <c r="M108" s="48" t="str">
        <f>IF(AND(Creditos!$C$7&lt;&gt;"",Creditos!$M$7="OK",43&lt;=Creditos!$H$7),MAX(0,F108-J108),"")</f>
        <v/>
      </c>
      <c r="N108" s="48" t="str">
        <f>IF(AND(Creditos!$C$7&lt;&gt;"",Creditos!$M$7="OK",43&lt;=Creditos!$H$7),SUMIFS(Pagos!$F$6:$F$305,Pagos!$C$6:$C$305,C108,Pagos!$D$6:$D$305,D108,Pagos!$E$6:$E$305,"&lt;="&amp;Supuestos!$D$6,Pagos!$H$6:$H$305,"OK"),"")</f>
        <v/>
      </c>
      <c r="O108" s="48" t="str">
        <f>IF(AND(Creditos!$C$7&lt;&gt;"",Creditos!$M$7="OK",43&lt;=Creditos!$H$7),MIN(J108,MAX(0,N108-K108-H108)),"")</f>
        <v/>
      </c>
      <c r="P108" s="48" t="str">
        <f>IF(AND(Creditos!$C$7&lt;&gt;"",Creditos!$M$7="OK",43&lt;=Creditos!$H$7),MAX(0,L108-N108),"")</f>
        <v/>
      </c>
      <c r="Q108" s="50" t="str">
        <f>IF(AND(Creditos!$C$7&lt;&gt;"",Creditos!$M$7="OK",43&lt;=Creditos!$H$7),IF(AND(E108&lt;Supuestos!$D$6,P108&gt;0.005),Supuestos!$D$6-E108,0),"")</f>
        <v/>
      </c>
      <c r="R108" s="48" t="str">
        <f>IF(AND(Creditos!$C$7&lt;&gt;"",Creditos!$M$7="OK",43&lt;=Creditos!$H$7),MAX(0,N108-L108),"")</f>
        <v/>
      </c>
      <c r="S108" s="46" t="str">
        <f>IF(AND(Creditos!$C$7&lt;&gt;"",Creditos!$M$7="OK",43&lt;=Creditos!$H$7),IF(R108&gt;0.005,"Exceso sin imputar",IF(P108&lt;=0.005,"Pagada",IF(E108&lt;Supuestos!$D$6,"Vencida",IF(E108=Supuestos!$D$6,"Vence hoy","Por vencer")))),"")</f>
        <v/>
      </c>
      <c r="T108" s="46">
        <f>IF(AND(Creditos!$C$7&lt;&gt;"",Creditos!$M$7="OK",43&lt;=Creditos!$H$7),IF(P108&gt;0.005,E108,999999),999999)</f>
        <v>999999</v>
      </c>
    </row>
    <row r="109" ht="25.5" customHeight="1">
      <c r="C109" s="46" t="str">
        <f>IF(AND(Creditos!$C$7&lt;&gt;"",Creditos!$M$7="OK",44&lt;=Creditos!$H$7),Creditos!$C$7,"")</f>
        <v/>
      </c>
      <c r="D109" s="46" t="str">
        <f>IF(AND(Creditos!$C$7&lt;&gt;"",Creditos!$M$7="OK",44&lt;=Creditos!$H$7),44,"")</f>
        <v/>
      </c>
      <c r="E109" s="47" t="str">
        <f>IF(AND(Creditos!$C$7&lt;&gt;"",Creditos!$M$7="OK",44&lt;=Creditos!$H$7),EDATE(Creditos!$I$7,43),"")</f>
        <v/>
      </c>
      <c r="F109" s="48" t="str">
        <f>IF(AND(Creditos!$C$7&lt;&gt;"",Creditos!$M$7="OK",44&lt;=Creditos!$H$7),M108,"")</f>
        <v/>
      </c>
      <c r="G109" s="49" t="str">
        <f>IF(AND(Creditos!$C$7&lt;&gt;"",Creditos!$M$7="OK",44&lt;=Creditos!$H$7),Creditos!$N$7,"")</f>
        <v/>
      </c>
      <c r="H109" s="48" t="str">
        <f>IF(AND(Creditos!$C$7&lt;&gt;"",Creditos!$M$7="OK",44&lt;=Creditos!$H$7),ROUND(F109*G109,2),"")</f>
        <v/>
      </c>
      <c r="I109" s="48" t="str">
        <f>IF(AND(Creditos!$C$7&lt;&gt;"",Creditos!$M$7="OK",44&lt;=Creditos!$H$7),IF(44=Creditos!$H$7,F109+H109,MIN(Creditos!$O$7,F109+H109)),"")</f>
        <v/>
      </c>
      <c r="J109" s="48" t="str">
        <f>IF(AND(Creditos!$C$7&lt;&gt;"",Creditos!$M$7="OK",44&lt;=Creditos!$H$7),MIN(F109,MAX(0,I109-H109)),"")</f>
        <v/>
      </c>
      <c r="K109" s="48" t="str">
        <f>IF(AND(Creditos!$C$7&lt;&gt;"",Creditos!$M$7="OK",44&lt;=Creditos!$H$7),Creditos!$J$7+Creditos!$K$7,"")</f>
        <v/>
      </c>
      <c r="L109" s="48" t="str">
        <f>IF(AND(Creditos!$C$7&lt;&gt;"",Creditos!$M$7="OK",44&lt;=Creditos!$H$7),I109+K109,"")</f>
        <v/>
      </c>
      <c r="M109" s="48" t="str">
        <f>IF(AND(Creditos!$C$7&lt;&gt;"",Creditos!$M$7="OK",44&lt;=Creditos!$H$7),MAX(0,F109-J109),"")</f>
        <v/>
      </c>
      <c r="N109" s="48" t="str">
        <f>IF(AND(Creditos!$C$7&lt;&gt;"",Creditos!$M$7="OK",44&lt;=Creditos!$H$7),SUMIFS(Pagos!$F$6:$F$305,Pagos!$C$6:$C$305,C109,Pagos!$D$6:$D$305,D109,Pagos!$E$6:$E$305,"&lt;="&amp;Supuestos!$D$6,Pagos!$H$6:$H$305,"OK"),"")</f>
        <v/>
      </c>
      <c r="O109" s="48" t="str">
        <f>IF(AND(Creditos!$C$7&lt;&gt;"",Creditos!$M$7="OK",44&lt;=Creditos!$H$7),MIN(J109,MAX(0,N109-K109-H109)),"")</f>
        <v/>
      </c>
      <c r="P109" s="48" t="str">
        <f>IF(AND(Creditos!$C$7&lt;&gt;"",Creditos!$M$7="OK",44&lt;=Creditos!$H$7),MAX(0,L109-N109),"")</f>
        <v/>
      </c>
      <c r="Q109" s="50" t="str">
        <f>IF(AND(Creditos!$C$7&lt;&gt;"",Creditos!$M$7="OK",44&lt;=Creditos!$H$7),IF(AND(E109&lt;Supuestos!$D$6,P109&gt;0.005),Supuestos!$D$6-E109,0),"")</f>
        <v/>
      </c>
      <c r="R109" s="48" t="str">
        <f>IF(AND(Creditos!$C$7&lt;&gt;"",Creditos!$M$7="OK",44&lt;=Creditos!$H$7),MAX(0,N109-L109),"")</f>
        <v/>
      </c>
      <c r="S109" s="46" t="str">
        <f>IF(AND(Creditos!$C$7&lt;&gt;"",Creditos!$M$7="OK",44&lt;=Creditos!$H$7),IF(R109&gt;0.005,"Exceso sin imputar",IF(P109&lt;=0.005,"Pagada",IF(E109&lt;Supuestos!$D$6,"Vencida",IF(E109=Supuestos!$D$6,"Vence hoy","Por vencer")))),"")</f>
        <v/>
      </c>
      <c r="T109" s="46">
        <f>IF(AND(Creditos!$C$7&lt;&gt;"",Creditos!$M$7="OK",44&lt;=Creditos!$H$7),IF(P109&gt;0.005,E109,999999),999999)</f>
        <v>999999</v>
      </c>
    </row>
    <row r="110" ht="25.5" customHeight="1">
      <c r="C110" s="46" t="str">
        <f>IF(AND(Creditos!$C$7&lt;&gt;"",Creditos!$M$7="OK",45&lt;=Creditos!$H$7),Creditos!$C$7,"")</f>
        <v/>
      </c>
      <c r="D110" s="46" t="str">
        <f>IF(AND(Creditos!$C$7&lt;&gt;"",Creditos!$M$7="OK",45&lt;=Creditos!$H$7),45,"")</f>
        <v/>
      </c>
      <c r="E110" s="47" t="str">
        <f>IF(AND(Creditos!$C$7&lt;&gt;"",Creditos!$M$7="OK",45&lt;=Creditos!$H$7),EDATE(Creditos!$I$7,44),"")</f>
        <v/>
      </c>
      <c r="F110" s="48" t="str">
        <f>IF(AND(Creditos!$C$7&lt;&gt;"",Creditos!$M$7="OK",45&lt;=Creditos!$H$7),M109,"")</f>
        <v/>
      </c>
      <c r="G110" s="49" t="str">
        <f>IF(AND(Creditos!$C$7&lt;&gt;"",Creditos!$M$7="OK",45&lt;=Creditos!$H$7),Creditos!$N$7,"")</f>
        <v/>
      </c>
      <c r="H110" s="48" t="str">
        <f>IF(AND(Creditos!$C$7&lt;&gt;"",Creditos!$M$7="OK",45&lt;=Creditos!$H$7),ROUND(F110*G110,2),"")</f>
        <v/>
      </c>
      <c r="I110" s="48" t="str">
        <f>IF(AND(Creditos!$C$7&lt;&gt;"",Creditos!$M$7="OK",45&lt;=Creditos!$H$7),IF(45=Creditos!$H$7,F110+H110,MIN(Creditos!$O$7,F110+H110)),"")</f>
        <v/>
      </c>
      <c r="J110" s="48" t="str">
        <f>IF(AND(Creditos!$C$7&lt;&gt;"",Creditos!$M$7="OK",45&lt;=Creditos!$H$7),MIN(F110,MAX(0,I110-H110)),"")</f>
        <v/>
      </c>
      <c r="K110" s="48" t="str">
        <f>IF(AND(Creditos!$C$7&lt;&gt;"",Creditos!$M$7="OK",45&lt;=Creditos!$H$7),Creditos!$J$7+Creditos!$K$7,"")</f>
        <v/>
      </c>
      <c r="L110" s="48" t="str">
        <f>IF(AND(Creditos!$C$7&lt;&gt;"",Creditos!$M$7="OK",45&lt;=Creditos!$H$7),I110+K110,"")</f>
        <v/>
      </c>
      <c r="M110" s="48" t="str">
        <f>IF(AND(Creditos!$C$7&lt;&gt;"",Creditos!$M$7="OK",45&lt;=Creditos!$H$7),MAX(0,F110-J110),"")</f>
        <v/>
      </c>
      <c r="N110" s="48" t="str">
        <f>IF(AND(Creditos!$C$7&lt;&gt;"",Creditos!$M$7="OK",45&lt;=Creditos!$H$7),SUMIFS(Pagos!$F$6:$F$305,Pagos!$C$6:$C$305,C110,Pagos!$D$6:$D$305,D110,Pagos!$E$6:$E$305,"&lt;="&amp;Supuestos!$D$6,Pagos!$H$6:$H$305,"OK"),"")</f>
        <v/>
      </c>
      <c r="O110" s="48" t="str">
        <f>IF(AND(Creditos!$C$7&lt;&gt;"",Creditos!$M$7="OK",45&lt;=Creditos!$H$7),MIN(J110,MAX(0,N110-K110-H110)),"")</f>
        <v/>
      </c>
      <c r="P110" s="48" t="str">
        <f>IF(AND(Creditos!$C$7&lt;&gt;"",Creditos!$M$7="OK",45&lt;=Creditos!$H$7),MAX(0,L110-N110),"")</f>
        <v/>
      </c>
      <c r="Q110" s="50" t="str">
        <f>IF(AND(Creditos!$C$7&lt;&gt;"",Creditos!$M$7="OK",45&lt;=Creditos!$H$7),IF(AND(E110&lt;Supuestos!$D$6,P110&gt;0.005),Supuestos!$D$6-E110,0),"")</f>
        <v/>
      </c>
      <c r="R110" s="48" t="str">
        <f>IF(AND(Creditos!$C$7&lt;&gt;"",Creditos!$M$7="OK",45&lt;=Creditos!$H$7),MAX(0,N110-L110),"")</f>
        <v/>
      </c>
      <c r="S110" s="46" t="str">
        <f>IF(AND(Creditos!$C$7&lt;&gt;"",Creditos!$M$7="OK",45&lt;=Creditos!$H$7),IF(R110&gt;0.005,"Exceso sin imputar",IF(P110&lt;=0.005,"Pagada",IF(E110&lt;Supuestos!$D$6,"Vencida",IF(E110=Supuestos!$D$6,"Vence hoy","Por vencer")))),"")</f>
        <v/>
      </c>
      <c r="T110" s="46">
        <f>IF(AND(Creditos!$C$7&lt;&gt;"",Creditos!$M$7="OK",45&lt;=Creditos!$H$7),IF(P110&gt;0.005,E110,999999),999999)</f>
        <v>999999</v>
      </c>
    </row>
    <row r="111" ht="25.5" customHeight="1">
      <c r="C111" s="46" t="str">
        <f>IF(AND(Creditos!$C$7&lt;&gt;"",Creditos!$M$7="OK",46&lt;=Creditos!$H$7),Creditos!$C$7,"")</f>
        <v/>
      </c>
      <c r="D111" s="46" t="str">
        <f>IF(AND(Creditos!$C$7&lt;&gt;"",Creditos!$M$7="OK",46&lt;=Creditos!$H$7),46,"")</f>
        <v/>
      </c>
      <c r="E111" s="47" t="str">
        <f>IF(AND(Creditos!$C$7&lt;&gt;"",Creditos!$M$7="OK",46&lt;=Creditos!$H$7),EDATE(Creditos!$I$7,45),"")</f>
        <v/>
      </c>
      <c r="F111" s="48" t="str">
        <f>IF(AND(Creditos!$C$7&lt;&gt;"",Creditos!$M$7="OK",46&lt;=Creditos!$H$7),M110,"")</f>
        <v/>
      </c>
      <c r="G111" s="49" t="str">
        <f>IF(AND(Creditos!$C$7&lt;&gt;"",Creditos!$M$7="OK",46&lt;=Creditos!$H$7),Creditos!$N$7,"")</f>
        <v/>
      </c>
      <c r="H111" s="48" t="str">
        <f>IF(AND(Creditos!$C$7&lt;&gt;"",Creditos!$M$7="OK",46&lt;=Creditos!$H$7),ROUND(F111*G111,2),"")</f>
        <v/>
      </c>
      <c r="I111" s="48" t="str">
        <f>IF(AND(Creditos!$C$7&lt;&gt;"",Creditos!$M$7="OK",46&lt;=Creditos!$H$7),IF(46=Creditos!$H$7,F111+H111,MIN(Creditos!$O$7,F111+H111)),"")</f>
        <v/>
      </c>
      <c r="J111" s="48" t="str">
        <f>IF(AND(Creditos!$C$7&lt;&gt;"",Creditos!$M$7="OK",46&lt;=Creditos!$H$7),MIN(F111,MAX(0,I111-H111)),"")</f>
        <v/>
      </c>
      <c r="K111" s="48" t="str">
        <f>IF(AND(Creditos!$C$7&lt;&gt;"",Creditos!$M$7="OK",46&lt;=Creditos!$H$7),Creditos!$J$7+Creditos!$K$7,"")</f>
        <v/>
      </c>
      <c r="L111" s="48" t="str">
        <f>IF(AND(Creditos!$C$7&lt;&gt;"",Creditos!$M$7="OK",46&lt;=Creditos!$H$7),I111+K111,"")</f>
        <v/>
      </c>
      <c r="M111" s="48" t="str">
        <f>IF(AND(Creditos!$C$7&lt;&gt;"",Creditos!$M$7="OK",46&lt;=Creditos!$H$7),MAX(0,F111-J111),"")</f>
        <v/>
      </c>
      <c r="N111" s="48" t="str">
        <f>IF(AND(Creditos!$C$7&lt;&gt;"",Creditos!$M$7="OK",46&lt;=Creditos!$H$7),SUMIFS(Pagos!$F$6:$F$305,Pagos!$C$6:$C$305,C111,Pagos!$D$6:$D$305,D111,Pagos!$E$6:$E$305,"&lt;="&amp;Supuestos!$D$6,Pagos!$H$6:$H$305,"OK"),"")</f>
        <v/>
      </c>
      <c r="O111" s="48" t="str">
        <f>IF(AND(Creditos!$C$7&lt;&gt;"",Creditos!$M$7="OK",46&lt;=Creditos!$H$7),MIN(J111,MAX(0,N111-K111-H111)),"")</f>
        <v/>
      </c>
      <c r="P111" s="48" t="str">
        <f>IF(AND(Creditos!$C$7&lt;&gt;"",Creditos!$M$7="OK",46&lt;=Creditos!$H$7),MAX(0,L111-N111),"")</f>
        <v/>
      </c>
      <c r="Q111" s="50" t="str">
        <f>IF(AND(Creditos!$C$7&lt;&gt;"",Creditos!$M$7="OK",46&lt;=Creditos!$H$7),IF(AND(E111&lt;Supuestos!$D$6,P111&gt;0.005),Supuestos!$D$6-E111,0),"")</f>
        <v/>
      </c>
      <c r="R111" s="48" t="str">
        <f>IF(AND(Creditos!$C$7&lt;&gt;"",Creditos!$M$7="OK",46&lt;=Creditos!$H$7),MAX(0,N111-L111),"")</f>
        <v/>
      </c>
      <c r="S111" s="46" t="str">
        <f>IF(AND(Creditos!$C$7&lt;&gt;"",Creditos!$M$7="OK",46&lt;=Creditos!$H$7),IF(R111&gt;0.005,"Exceso sin imputar",IF(P111&lt;=0.005,"Pagada",IF(E111&lt;Supuestos!$D$6,"Vencida",IF(E111=Supuestos!$D$6,"Vence hoy","Por vencer")))),"")</f>
        <v/>
      </c>
      <c r="T111" s="46">
        <f>IF(AND(Creditos!$C$7&lt;&gt;"",Creditos!$M$7="OK",46&lt;=Creditos!$H$7),IF(P111&gt;0.005,E111,999999),999999)</f>
        <v>999999</v>
      </c>
    </row>
    <row r="112" ht="25.5" customHeight="1">
      <c r="C112" s="46" t="str">
        <f>IF(AND(Creditos!$C$7&lt;&gt;"",Creditos!$M$7="OK",47&lt;=Creditos!$H$7),Creditos!$C$7,"")</f>
        <v/>
      </c>
      <c r="D112" s="46" t="str">
        <f>IF(AND(Creditos!$C$7&lt;&gt;"",Creditos!$M$7="OK",47&lt;=Creditos!$H$7),47,"")</f>
        <v/>
      </c>
      <c r="E112" s="47" t="str">
        <f>IF(AND(Creditos!$C$7&lt;&gt;"",Creditos!$M$7="OK",47&lt;=Creditos!$H$7),EDATE(Creditos!$I$7,46),"")</f>
        <v/>
      </c>
      <c r="F112" s="48" t="str">
        <f>IF(AND(Creditos!$C$7&lt;&gt;"",Creditos!$M$7="OK",47&lt;=Creditos!$H$7),M111,"")</f>
        <v/>
      </c>
      <c r="G112" s="49" t="str">
        <f>IF(AND(Creditos!$C$7&lt;&gt;"",Creditos!$M$7="OK",47&lt;=Creditos!$H$7),Creditos!$N$7,"")</f>
        <v/>
      </c>
      <c r="H112" s="48" t="str">
        <f>IF(AND(Creditos!$C$7&lt;&gt;"",Creditos!$M$7="OK",47&lt;=Creditos!$H$7),ROUND(F112*G112,2),"")</f>
        <v/>
      </c>
      <c r="I112" s="48" t="str">
        <f>IF(AND(Creditos!$C$7&lt;&gt;"",Creditos!$M$7="OK",47&lt;=Creditos!$H$7),IF(47=Creditos!$H$7,F112+H112,MIN(Creditos!$O$7,F112+H112)),"")</f>
        <v/>
      </c>
      <c r="J112" s="48" t="str">
        <f>IF(AND(Creditos!$C$7&lt;&gt;"",Creditos!$M$7="OK",47&lt;=Creditos!$H$7),MIN(F112,MAX(0,I112-H112)),"")</f>
        <v/>
      </c>
      <c r="K112" s="48" t="str">
        <f>IF(AND(Creditos!$C$7&lt;&gt;"",Creditos!$M$7="OK",47&lt;=Creditos!$H$7),Creditos!$J$7+Creditos!$K$7,"")</f>
        <v/>
      </c>
      <c r="L112" s="48" t="str">
        <f>IF(AND(Creditos!$C$7&lt;&gt;"",Creditos!$M$7="OK",47&lt;=Creditos!$H$7),I112+K112,"")</f>
        <v/>
      </c>
      <c r="M112" s="48" t="str">
        <f>IF(AND(Creditos!$C$7&lt;&gt;"",Creditos!$M$7="OK",47&lt;=Creditos!$H$7),MAX(0,F112-J112),"")</f>
        <v/>
      </c>
      <c r="N112" s="48" t="str">
        <f>IF(AND(Creditos!$C$7&lt;&gt;"",Creditos!$M$7="OK",47&lt;=Creditos!$H$7),SUMIFS(Pagos!$F$6:$F$305,Pagos!$C$6:$C$305,C112,Pagos!$D$6:$D$305,D112,Pagos!$E$6:$E$305,"&lt;="&amp;Supuestos!$D$6,Pagos!$H$6:$H$305,"OK"),"")</f>
        <v/>
      </c>
      <c r="O112" s="48" t="str">
        <f>IF(AND(Creditos!$C$7&lt;&gt;"",Creditos!$M$7="OK",47&lt;=Creditos!$H$7),MIN(J112,MAX(0,N112-K112-H112)),"")</f>
        <v/>
      </c>
      <c r="P112" s="48" t="str">
        <f>IF(AND(Creditos!$C$7&lt;&gt;"",Creditos!$M$7="OK",47&lt;=Creditos!$H$7),MAX(0,L112-N112),"")</f>
        <v/>
      </c>
      <c r="Q112" s="50" t="str">
        <f>IF(AND(Creditos!$C$7&lt;&gt;"",Creditos!$M$7="OK",47&lt;=Creditos!$H$7),IF(AND(E112&lt;Supuestos!$D$6,P112&gt;0.005),Supuestos!$D$6-E112,0),"")</f>
        <v/>
      </c>
      <c r="R112" s="48" t="str">
        <f>IF(AND(Creditos!$C$7&lt;&gt;"",Creditos!$M$7="OK",47&lt;=Creditos!$H$7),MAX(0,N112-L112),"")</f>
        <v/>
      </c>
      <c r="S112" s="46" t="str">
        <f>IF(AND(Creditos!$C$7&lt;&gt;"",Creditos!$M$7="OK",47&lt;=Creditos!$H$7),IF(R112&gt;0.005,"Exceso sin imputar",IF(P112&lt;=0.005,"Pagada",IF(E112&lt;Supuestos!$D$6,"Vencida",IF(E112=Supuestos!$D$6,"Vence hoy","Por vencer")))),"")</f>
        <v/>
      </c>
      <c r="T112" s="46">
        <f>IF(AND(Creditos!$C$7&lt;&gt;"",Creditos!$M$7="OK",47&lt;=Creditos!$H$7),IF(P112&gt;0.005,E112,999999),999999)</f>
        <v>999999</v>
      </c>
    </row>
    <row r="113" ht="25.5" customHeight="1">
      <c r="C113" s="46" t="str">
        <f>IF(AND(Creditos!$C$7&lt;&gt;"",Creditos!$M$7="OK",48&lt;=Creditos!$H$7),Creditos!$C$7,"")</f>
        <v/>
      </c>
      <c r="D113" s="46" t="str">
        <f>IF(AND(Creditos!$C$7&lt;&gt;"",Creditos!$M$7="OK",48&lt;=Creditos!$H$7),48,"")</f>
        <v/>
      </c>
      <c r="E113" s="47" t="str">
        <f>IF(AND(Creditos!$C$7&lt;&gt;"",Creditos!$M$7="OK",48&lt;=Creditos!$H$7),EDATE(Creditos!$I$7,47),"")</f>
        <v/>
      </c>
      <c r="F113" s="48" t="str">
        <f>IF(AND(Creditos!$C$7&lt;&gt;"",Creditos!$M$7="OK",48&lt;=Creditos!$H$7),M112,"")</f>
        <v/>
      </c>
      <c r="G113" s="49" t="str">
        <f>IF(AND(Creditos!$C$7&lt;&gt;"",Creditos!$M$7="OK",48&lt;=Creditos!$H$7),Creditos!$N$7,"")</f>
        <v/>
      </c>
      <c r="H113" s="48" t="str">
        <f>IF(AND(Creditos!$C$7&lt;&gt;"",Creditos!$M$7="OK",48&lt;=Creditos!$H$7),ROUND(F113*G113,2),"")</f>
        <v/>
      </c>
      <c r="I113" s="48" t="str">
        <f>IF(AND(Creditos!$C$7&lt;&gt;"",Creditos!$M$7="OK",48&lt;=Creditos!$H$7),IF(48=Creditos!$H$7,F113+H113,MIN(Creditos!$O$7,F113+H113)),"")</f>
        <v/>
      </c>
      <c r="J113" s="48" t="str">
        <f>IF(AND(Creditos!$C$7&lt;&gt;"",Creditos!$M$7="OK",48&lt;=Creditos!$H$7),MIN(F113,MAX(0,I113-H113)),"")</f>
        <v/>
      </c>
      <c r="K113" s="48" t="str">
        <f>IF(AND(Creditos!$C$7&lt;&gt;"",Creditos!$M$7="OK",48&lt;=Creditos!$H$7),Creditos!$J$7+Creditos!$K$7,"")</f>
        <v/>
      </c>
      <c r="L113" s="48" t="str">
        <f>IF(AND(Creditos!$C$7&lt;&gt;"",Creditos!$M$7="OK",48&lt;=Creditos!$H$7),I113+K113,"")</f>
        <v/>
      </c>
      <c r="M113" s="48" t="str">
        <f>IF(AND(Creditos!$C$7&lt;&gt;"",Creditos!$M$7="OK",48&lt;=Creditos!$H$7),MAX(0,F113-J113),"")</f>
        <v/>
      </c>
      <c r="N113" s="48" t="str">
        <f>IF(AND(Creditos!$C$7&lt;&gt;"",Creditos!$M$7="OK",48&lt;=Creditos!$H$7),SUMIFS(Pagos!$F$6:$F$305,Pagos!$C$6:$C$305,C113,Pagos!$D$6:$D$305,D113,Pagos!$E$6:$E$305,"&lt;="&amp;Supuestos!$D$6,Pagos!$H$6:$H$305,"OK"),"")</f>
        <v/>
      </c>
      <c r="O113" s="48" t="str">
        <f>IF(AND(Creditos!$C$7&lt;&gt;"",Creditos!$M$7="OK",48&lt;=Creditos!$H$7),MIN(J113,MAX(0,N113-K113-H113)),"")</f>
        <v/>
      </c>
      <c r="P113" s="48" t="str">
        <f>IF(AND(Creditos!$C$7&lt;&gt;"",Creditos!$M$7="OK",48&lt;=Creditos!$H$7),MAX(0,L113-N113),"")</f>
        <v/>
      </c>
      <c r="Q113" s="50" t="str">
        <f>IF(AND(Creditos!$C$7&lt;&gt;"",Creditos!$M$7="OK",48&lt;=Creditos!$H$7),IF(AND(E113&lt;Supuestos!$D$6,P113&gt;0.005),Supuestos!$D$6-E113,0),"")</f>
        <v/>
      </c>
      <c r="R113" s="48" t="str">
        <f>IF(AND(Creditos!$C$7&lt;&gt;"",Creditos!$M$7="OK",48&lt;=Creditos!$H$7),MAX(0,N113-L113),"")</f>
        <v/>
      </c>
      <c r="S113" s="46" t="str">
        <f>IF(AND(Creditos!$C$7&lt;&gt;"",Creditos!$M$7="OK",48&lt;=Creditos!$H$7),IF(R113&gt;0.005,"Exceso sin imputar",IF(P113&lt;=0.005,"Pagada",IF(E113&lt;Supuestos!$D$6,"Vencida",IF(E113=Supuestos!$D$6,"Vence hoy","Por vencer")))),"")</f>
        <v/>
      </c>
      <c r="T113" s="46">
        <f>IF(AND(Creditos!$C$7&lt;&gt;"",Creditos!$M$7="OK",48&lt;=Creditos!$H$7),IF(P113&gt;0.005,E113,999999),999999)</f>
        <v>999999</v>
      </c>
    </row>
    <row r="114" ht="25.5" customHeight="1">
      <c r="C114" s="46" t="str">
        <f>IF(AND(Creditos!$C$7&lt;&gt;"",Creditos!$M$7="OK",49&lt;=Creditos!$H$7),Creditos!$C$7,"")</f>
        <v/>
      </c>
      <c r="D114" s="46" t="str">
        <f>IF(AND(Creditos!$C$7&lt;&gt;"",Creditos!$M$7="OK",49&lt;=Creditos!$H$7),49,"")</f>
        <v/>
      </c>
      <c r="E114" s="47" t="str">
        <f>IF(AND(Creditos!$C$7&lt;&gt;"",Creditos!$M$7="OK",49&lt;=Creditos!$H$7),EDATE(Creditos!$I$7,48),"")</f>
        <v/>
      </c>
      <c r="F114" s="48" t="str">
        <f>IF(AND(Creditos!$C$7&lt;&gt;"",Creditos!$M$7="OK",49&lt;=Creditos!$H$7),M113,"")</f>
        <v/>
      </c>
      <c r="G114" s="49" t="str">
        <f>IF(AND(Creditos!$C$7&lt;&gt;"",Creditos!$M$7="OK",49&lt;=Creditos!$H$7),Creditos!$N$7,"")</f>
        <v/>
      </c>
      <c r="H114" s="48" t="str">
        <f>IF(AND(Creditos!$C$7&lt;&gt;"",Creditos!$M$7="OK",49&lt;=Creditos!$H$7),ROUND(F114*G114,2),"")</f>
        <v/>
      </c>
      <c r="I114" s="48" t="str">
        <f>IF(AND(Creditos!$C$7&lt;&gt;"",Creditos!$M$7="OK",49&lt;=Creditos!$H$7),IF(49=Creditos!$H$7,F114+H114,MIN(Creditos!$O$7,F114+H114)),"")</f>
        <v/>
      </c>
      <c r="J114" s="48" t="str">
        <f>IF(AND(Creditos!$C$7&lt;&gt;"",Creditos!$M$7="OK",49&lt;=Creditos!$H$7),MIN(F114,MAX(0,I114-H114)),"")</f>
        <v/>
      </c>
      <c r="K114" s="48" t="str">
        <f>IF(AND(Creditos!$C$7&lt;&gt;"",Creditos!$M$7="OK",49&lt;=Creditos!$H$7),Creditos!$J$7+Creditos!$K$7,"")</f>
        <v/>
      </c>
      <c r="L114" s="48" t="str">
        <f>IF(AND(Creditos!$C$7&lt;&gt;"",Creditos!$M$7="OK",49&lt;=Creditos!$H$7),I114+K114,"")</f>
        <v/>
      </c>
      <c r="M114" s="48" t="str">
        <f>IF(AND(Creditos!$C$7&lt;&gt;"",Creditos!$M$7="OK",49&lt;=Creditos!$H$7),MAX(0,F114-J114),"")</f>
        <v/>
      </c>
      <c r="N114" s="48" t="str">
        <f>IF(AND(Creditos!$C$7&lt;&gt;"",Creditos!$M$7="OK",49&lt;=Creditos!$H$7),SUMIFS(Pagos!$F$6:$F$305,Pagos!$C$6:$C$305,C114,Pagos!$D$6:$D$305,D114,Pagos!$E$6:$E$305,"&lt;="&amp;Supuestos!$D$6,Pagos!$H$6:$H$305,"OK"),"")</f>
        <v/>
      </c>
      <c r="O114" s="48" t="str">
        <f>IF(AND(Creditos!$C$7&lt;&gt;"",Creditos!$M$7="OK",49&lt;=Creditos!$H$7),MIN(J114,MAX(0,N114-K114-H114)),"")</f>
        <v/>
      </c>
      <c r="P114" s="48" t="str">
        <f>IF(AND(Creditos!$C$7&lt;&gt;"",Creditos!$M$7="OK",49&lt;=Creditos!$H$7),MAX(0,L114-N114),"")</f>
        <v/>
      </c>
      <c r="Q114" s="50" t="str">
        <f>IF(AND(Creditos!$C$7&lt;&gt;"",Creditos!$M$7="OK",49&lt;=Creditos!$H$7),IF(AND(E114&lt;Supuestos!$D$6,P114&gt;0.005),Supuestos!$D$6-E114,0),"")</f>
        <v/>
      </c>
      <c r="R114" s="48" t="str">
        <f>IF(AND(Creditos!$C$7&lt;&gt;"",Creditos!$M$7="OK",49&lt;=Creditos!$H$7),MAX(0,N114-L114),"")</f>
        <v/>
      </c>
      <c r="S114" s="46" t="str">
        <f>IF(AND(Creditos!$C$7&lt;&gt;"",Creditos!$M$7="OK",49&lt;=Creditos!$H$7),IF(R114&gt;0.005,"Exceso sin imputar",IF(P114&lt;=0.005,"Pagada",IF(E114&lt;Supuestos!$D$6,"Vencida",IF(E114=Supuestos!$D$6,"Vence hoy","Por vencer")))),"")</f>
        <v/>
      </c>
      <c r="T114" s="46">
        <f>IF(AND(Creditos!$C$7&lt;&gt;"",Creditos!$M$7="OK",49&lt;=Creditos!$H$7),IF(P114&gt;0.005,E114,999999),999999)</f>
        <v>999999</v>
      </c>
    </row>
    <row r="115" ht="25.5" customHeight="1">
      <c r="C115" s="46" t="str">
        <f>IF(AND(Creditos!$C$7&lt;&gt;"",Creditos!$M$7="OK",50&lt;=Creditos!$H$7),Creditos!$C$7,"")</f>
        <v/>
      </c>
      <c r="D115" s="46" t="str">
        <f>IF(AND(Creditos!$C$7&lt;&gt;"",Creditos!$M$7="OK",50&lt;=Creditos!$H$7),50,"")</f>
        <v/>
      </c>
      <c r="E115" s="47" t="str">
        <f>IF(AND(Creditos!$C$7&lt;&gt;"",Creditos!$M$7="OK",50&lt;=Creditos!$H$7),EDATE(Creditos!$I$7,49),"")</f>
        <v/>
      </c>
      <c r="F115" s="48" t="str">
        <f>IF(AND(Creditos!$C$7&lt;&gt;"",Creditos!$M$7="OK",50&lt;=Creditos!$H$7),M114,"")</f>
        <v/>
      </c>
      <c r="G115" s="49" t="str">
        <f>IF(AND(Creditos!$C$7&lt;&gt;"",Creditos!$M$7="OK",50&lt;=Creditos!$H$7),Creditos!$N$7,"")</f>
        <v/>
      </c>
      <c r="H115" s="48" t="str">
        <f>IF(AND(Creditos!$C$7&lt;&gt;"",Creditos!$M$7="OK",50&lt;=Creditos!$H$7),ROUND(F115*G115,2),"")</f>
        <v/>
      </c>
      <c r="I115" s="48" t="str">
        <f>IF(AND(Creditos!$C$7&lt;&gt;"",Creditos!$M$7="OK",50&lt;=Creditos!$H$7),IF(50=Creditos!$H$7,F115+H115,MIN(Creditos!$O$7,F115+H115)),"")</f>
        <v/>
      </c>
      <c r="J115" s="48" t="str">
        <f>IF(AND(Creditos!$C$7&lt;&gt;"",Creditos!$M$7="OK",50&lt;=Creditos!$H$7),MIN(F115,MAX(0,I115-H115)),"")</f>
        <v/>
      </c>
      <c r="K115" s="48" t="str">
        <f>IF(AND(Creditos!$C$7&lt;&gt;"",Creditos!$M$7="OK",50&lt;=Creditos!$H$7),Creditos!$J$7+Creditos!$K$7,"")</f>
        <v/>
      </c>
      <c r="L115" s="48" t="str">
        <f>IF(AND(Creditos!$C$7&lt;&gt;"",Creditos!$M$7="OK",50&lt;=Creditos!$H$7),I115+K115,"")</f>
        <v/>
      </c>
      <c r="M115" s="48" t="str">
        <f>IF(AND(Creditos!$C$7&lt;&gt;"",Creditos!$M$7="OK",50&lt;=Creditos!$H$7),MAX(0,F115-J115),"")</f>
        <v/>
      </c>
      <c r="N115" s="48" t="str">
        <f>IF(AND(Creditos!$C$7&lt;&gt;"",Creditos!$M$7="OK",50&lt;=Creditos!$H$7),SUMIFS(Pagos!$F$6:$F$305,Pagos!$C$6:$C$305,C115,Pagos!$D$6:$D$305,D115,Pagos!$E$6:$E$305,"&lt;="&amp;Supuestos!$D$6,Pagos!$H$6:$H$305,"OK"),"")</f>
        <v/>
      </c>
      <c r="O115" s="48" t="str">
        <f>IF(AND(Creditos!$C$7&lt;&gt;"",Creditos!$M$7="OK",50&lt;=Creditos!$H$7),MIN(J115,MAX(0,N115-K115-H115)),"")</f>
        <v/>
      </c>
      <c r="P115" s="48" t="str">
        <f>IF(AND(Creditos!$C$7&lt;&gt;"",Creditos!$M$7="OK",50&lt;=Creditos!$H$7),MAX(0,L115-N115),"")</f>
        <v/>
      </c>
      <c r="Q115" s="50" t="str">
        <f>IF(AND(Creditos!$C$7&lt;&gt;"",Creditos!$M$7="OK",50&lt;=Creditos!$H$7),IF(AND(E115&lt;Supuestos!$D$6,P115&gt;0.005),Supuestos!$D$6-E115,0),"")</f>
        <v/>
      </c>
      <c r="R115" s="48" t="str">
        <f>IF(AND(Creditos!$C$7&lt;&gt;"",Creditos!$M$7="OK",50&lt;=Creditos!$H$7),MAX(0,N115-L115),"")</f>
        <v/>
      </c>
      <c r="S115" s="46" t="str">
        <f>IF(AND(Creditos!$C$7&lt;&gt;"",Creditos!$M$7="OK",50&lt;=Creditos!$H$7),IF(R115&gt;0.005,"Exceso sin imputar",IF(P115&lt;=0.005,"Pagada",IF(E115&lt;Supuestos!$D$6,"Vencida",IF(E115=Supuestos!$D$6,"Vence hoy","Por vencer")))),"")</f>
        <v/>
      </c>
      <c r="T115" s="46">
        <f>IF(AND(Creditos!$C$7&lt;&gt;"",Creditos!$M$7="OK",50&lt;=Creditos!$H$7),IF(P115&gt;0.005,E115,999999),999999)</f>
        <v>999999</v>
      </c>
    </row>
    <row r="116" ht="25.5" customHeight="1">
      <c r="C116" s="46" t="str">
        <f>IF(AND(Creditos!$C$7&lt;&gt;"",Creditos!$M$7="OK",51&lt;=Creditos!$H$7),Creditos!$C$7,"")</f>
        <v/>
      </c>
      <c r="D116" s="46" t="str">
        <f>IF(AND(Creditos!$C$7&lt;&gt;"",Creditos!$M$7="OK",51&lt;=Creditos!$H$7),51,"")</f>
        <v/>
      </c>
      <c r="E116" s="47" t="str">
        <f>IF(AND(Creditos!$C$7&lt;&gt;"",Creditos!$M$7="OK",51&lt;=Creditos!$H$7),EDATE(Creditos!$I$7,50),"")</f>
        <v/>
      </c>
      <c r="F116" s="48" t="str">
        <f>IF(AND(Creditos!$C$7&lt;&gt;"",Creditos!$M$7="OK",51&lt;=Creditos!$H$7),M115,"")</f>
        <v/>
      </c>
      <c r="G116" s="49" t="str">
        <f>IF(AND(Creditos!$C$7&lt;&gt;"",Creditos!$M$7="OK",51&lt;=Creditos!$H$7),Creditos!$N$7,"")</f>
        <v/>
      </c>
      <c r="H116" s="48" t="str">
        <f>IF(AND(Creditos!$C$7&lt;&gt;"",Creditos!$M$7="OK",51&lt;=Creditos!$H$7),ROUND(F116*G116,2),"")</f>
        <v/>
      </c>
      <c r="I116" s="48" t="str">
        <f>IF(AND(Creditos!$C$7&lt;&gt;"",Creditos!$M$7="OK",51&lt;=Creditos!$H$7),IF(51=Creditos!$H$7,F116+H116,MIN(Creditos!$O$7,F116+H116)),"")</f>
        <v/>
      </c>
      <c r="J116" s="48" t="str">
        <f>IF(AND(Creditos!$C$7&lt;&gt;"",Creditos!$M$7="OK",51&lt;=Creditos!$H$7),MIN(F116,MAX(0,I116-H116)),"")</f>
        <v/>
      </c>
      <c r="K116" s="48" t="str">
        <f>IF(AND(Creditos!$C$7&lt;&gt;"",Creditos!$M$7="OK",51&lt;=Creditos!$H$7),Creditos!$J$7+Creditos!$K$7,"")</f>
        <v/>
      </c>
      <c r="L116" s="48" t="str">
        <f>IF(AND(Creditos!$C$7&lt;&gt;"",Creditos!$M$7="OK",51&lt;=Creditos!$H$7),I116+K116,"")</f>
        <v/>
      </c>
      <c r="M116" s="48" t="str">
        <f>IF(AND(Creditos!$C$7&lt;&gt;"",Creditos!$M$7="OK",51&lt;=Creditos!$H$7),MAX(0,F116-J116),"")</f>
        <v/>
      </c>
      <c r="N116" s="48" t="str">
        <f>IF(AND(Creditos!$C$7&lt;&gt;"",Creditos!$M$7="OK",51&lt;=Creditos!$H$7),SUMIFS(Pagos!$F$6:$F$305,Pagos!$C$6:$C$305,C116,Pagos!$D$6:$D$305,D116,Pagos!$E$6:$E$305,"&lt;="&amp;Supuestos!$D$6,Pagos!$H$6:$H$305,"OK"),"")</f>
        <v/>
      </c>
      <c r="O116" s="48" t="str">
        <f>IF(AND(Creditos!$C$7&lt;&gt;"",Creditos!$M$7="OK",51&lt;=Creditos!$H$7),MIN(J116,MAX(0,N116-K116-H116)),"")</f>
        <v/>
      </c>
      <c r="P116" s="48" t="str">
        <f>IF(AND(Creditos!$C$7&lt;&gt;"",Creditos!$M$7="OK",51&lt;=Creditos!$H$7),MAX(0,L116-N116),"")</f>
        <v/>
      </c>
      <c r="Q116" s="50" t="str">
        <f>IF(AND(Creditos!$C$7&lt;&gt;"",Creditos!$M$7="OK",51&lt;=Creditos!$H$7),IF(AND(E116&lt;Supuestos!$D$6,P116&gt;0.005),Supuestos!$D$6-E116,0),"")</f>
        <v/>
      </c>
      <c r="R116" s="48" t="str">
        <f>IF(AND(Creditos!$C$7&lt;&gt;"",Creditos!$M$7="OK",51&lt;=Creditos!$H$7),MAX(0,N116-L116),"")</f>
        <v/>
      </c>
      <c r="S116" s="46" t="str">
        <f>IF(AND(Creditos!$C$7&lt;&gt;"",Creditos!$M$7="OK",51&lt;=Creditos!$H$7),IF(R116&gt;0.005,"Exceso sin imputar",IF(P116&lt;=0.005,"Pagada",IF(E116&lt;Supuestos!$D$6,"Vencida",IF(E116=Supuestos!$D$6,"Vence hoy","Por vencer")))),"")</f>
        <v/>
      </c>
      <c r="T116" s="46">
        <f>IF(AND(Creditos!$C$7&lt;&gt;"",Creditos!$M$7="OK",51&lt;=Creditos!$H$7),IF(P116&gt;0.005,E116,999999),999999)</f>
        <v>999999</v>
      </c>
    </row>
    <row r="117" ht="25.5" customHeight="1">
      <c r="C117" s="46" t="str">
        <f>IF(AND(Creditos!$C$7&lt;&gt;"",Creditos!$M$7="OK",52&lt;=Creditos!$H$7),Creditos!$C$7,"")</f>
        <v/>
      </c>
      <c r="D117" s="46" t="str">
        <f>IF(AND(Creditos!$C$7&lt;&gt;"",Creditos!$M$7="OK",52&lt;=Creditos!$H$7),52,"")</f>
        <v/>
      </c>
      <c r="E117" s="47" t="str">
        <f>IF(AND(Creditos!$C$7&lt;&gt;"",Creditos!$M$7="OK",52&lt;=Creditos!$H$7),EDATE(Creditos!$I$7,51),"")</f>
        <v/>
      </c>
      <c r="F117" s="48" t="str">
        <f>IF(AND(Creditos!$C$7&lt;&gt;"",Creditos!$M$7="OK",52&lt;=Creditos!$H$7),M116,"")</f>
        <v/>
      </c>
      <c r="G117" s="49" t="str">
        <f>IF(AND(Creditos!$C$7&lt;&gt;"",Creditos!$M$7="OK",52&lt;=Creditos!$H$7),Creditos!$N$7,"")</f>
        <v/>
      </c>
      <c r="H117" s="48" t="str">
        <f>IF(AND(Creditos!$C$7&lt;&gt;"",Creditos!$M$7="OK",52&lt;=Creditos!$H$7),ROUND(F117*G117,2),"")</f>
        <v/>
      </c>
      <c r="I117" s="48" t="str">
        <f>IF(AND(Creditos!$C$7&lt;&gt;"",Creditos!$M$7="OK",52&lt;=Creditos!$H$7),IF(52=Creditos!$H$7,F117+H117,MIN(Creditos!$O$7,F117+H117)),"")</f>
        <v/>
      </c>
      <c r="J117" s="48" t="str">
        <f>IF(AND(Creditos!$C$7&lt;&gt;"",Creditos!$M$7="OK",52&lt;=Creditos!$H$7),MIN(F117,MAX(0,I117-H117)),"")</f>
        <v/>
      </c>
      <c r="K117" s="48" t="str">
        <f>IF(AND(Creditos!$C$7&lt;&gt;"",Creditos!$M$7="OK",52&lt;=Creditos!$H$7),Creditos!$J$7+Creditos!$K$7,"")</f>
        <v/>
      </c>
      <c r="L117" s="48" t="str">
        <f>IF(AND(Creditos!$C$7&lt;&gt;"",Creditos!$M$7="OK",52&lt;=Creditos!$H$7),I117+K117,"")</f>
        <v/>
      </c>
      <c r="M117" s="48" t="str">
        <f>IF(AND(Creditos!$C$7&lt;&gt;"",Creditos!$M$7="OK",52&lt;=Creditos!$H$7),MAX(0,F117-J117),"")</f>
        <v/>
      </c>
      <c r="N117" s="48" t="str">
        <f>IF(AND(Creditos!$C$7&lt;&gt;"",Creditos!$M$7="OK",52&lt;=Creditos!$H$7),SUMIFS(Pagos!$F$6:$F$305,Pagos!$C$6:$C$305,C117,Pagos!$D$6:$D$305,D117,Pagos!$E$6:$E$305,"&lt;="&amp;Supuestos!$D$6,Pagos!$H$6:$H$305,"OK"),"")</f>
        <v/>
      </c>
      <c r="O117" s="48" t="str">
        <f>IF(AND(Creditos!$C$7&lt;&gt;"",Creditos!$M$7="OK",52&lt;=Creditos!$H$7),MIN(J117,MAX(0,N117-K117-H117)),"")</f>
        <v/>
      </c>
      <c r="P117" s="48" t="str">
        <f>IF(AND(Creditos!$C$7&lt;&gt;"",Creditos!$M$7="OK",52&lt;=Creditos!$H$7),MAX(0,L117-N117),"")</f>
        <v/>
      </c>
      <c r="Q117" s="50" t="str">
        <f>IF(AND(Creditos!$C$7&lt;&gt;"",Creditos!$M$7="OK",52&lt;=Creditos!$H$7),IF(AND(E117&lt;Supuestos!$D$6,P117&gt;0.005),Supuestos!$D$6-E117,0),"")</f>
        <v/>
      </c>
      <c r="R117" s="48" t="str">
        <f>IF(AND(Creditos!$C$7&lt;&gt;"",Creditos!$M$7="OK",52&lt;=Creditos!$H$7),MAX(0,N117-L117),"")</f>
        <v/>
      </c>
      <c r="S117" s="46" t="str">
        <f>IF(AND(Creditos!$C$7&lt;&gt;"",Creditos!$M$7="OK",52&lt;=Creditos!$H$7),IF(R117&gt;0.005,"Exceso sin imputar",IF(P117&lt;=0.005,"Pagada",IF(E117&lt;Supuestos!$D$6,"Vencida",IF(E117=Supuestos!$D$6,"Vence hoy","Por vencer")))),"")</f>
        <v/>
      </c>
      <c r="T117" s="46">
        <f>IF(AND(Creditos!$C$7&lt;&gt;"",Creditos!$M$7="OK",52&lt;=Creditos!$H$7),IF(P117&gt;0.005,E117,999999),999999)</f>
        <v>999999</v>
      </c>
    </row>
    <row r="118" ht="25.5" customHeight="1">
      <c r="C118" s="46" t="str">
        <f>IF(AND(Creditos!$C$7&lt;&gt;"",Creditos!$M$7="OK",53&lt;=Creditos!$H$7),Creditos!$C$7,"")</f>
        <v/>
      </c>
      <c r="D118" s="46" t="str">
        <f>IF(AND(Creditos!$C$7&lt;&gt;"",Creditos!$M$7="OK",53&lt;=Creditos!$H$7),53,"")</f>
        <v/>
      </c>
      <c r="E118" s="47" t="str">
        <f>IF(AND(Creditos!$C$7&lt;&gt;"",Creditos!$M$7="OK",53&lt;=Creditos!$H$7),EDATE(Creditos!$I$7,52),"")</f>
        <v/>
      </c>
      <c r="F118" s="48" t="str">
        <f>IF(AND(Creditos!$C$7&lt;&gt;"",Creditos!$M$7="OK",53&lt;=Creditos!$H$7),M117,"")</f>
        <v/>
      </c>
      <c r="G118" s="49" t="str">
        <f>IF(AND(Creditos!$C$7&lt;&gt;"",Creditos!$M$7="OK",53&lt;=Creditos!$H$7),Creditos!$N$7,"")</f>
        <v/>
      </c>
      <c r="H118" s="48" t="str">
        <f>IF(AND(Creditos!$C$7&lt;&gt;"",Creditos!$M$7="OK",53&lt;=Creditos!$H$7),ROUND(F118*G118,2),"")</f>
        <v/>
      </c>
      <c r="I118" s="48" t="str">
        <f>IF(AND(Creditos!$C$7&lt;&gt;"",Creditos!$M$7="OK",53&lt;=Creditos!$H$7),IF(53=Creditos!$H$7,F118+H118,MIN(Creditos!$O$7,F118+H118)),"")</f>
        <v/>
      </c>
      <c r="J118" s="48" t="str">
        <f>IF(AND(Creditos!$C$7&lt;&gt;"",Creditos!$M$7="OK",53&lt;=Creditos!$H$7),MIN(F118,MAX(0,I118-H118)),"")</f>
        <v/>
      </c>
      <c r="K118" s="48" t="str">
        <f>IF(AND(Creditos!$C$7&lt;&gt;"",Creditos!$M$7="OK",53&lt;=Creditos!$H$7),Creditos!$J$7+Creditos!$K$7,"")</f>
        <v/>
      </c>
      <c r="L118" s="48" t="str">
        <f>IF(AND(Creditos!$C$7&lt;&gt;"",Creditos!$M$7="OK",53&lt;=Creditos!$H$7),I118+K118,"")</f>
        <v/>
      </c>
      <c r="M118" s="48" t="str">
        <f>IF(AND(Creditos!$C$7&lt;&gt;"",Creditos!$M$7="OK",53&lt;=Creditos!$H$7),MAX(0,F118-J118),"")</f>
        <v/>
      </c>
      <c r="N118" s="48" t="str">
        <f>IF(AND(Creditos!$C$7&lt;&gt;"",Creditos!$M$7="OK",53&lt;=Creditos!$H$7),SUMIFS(Pagos!$F$6:$F$305,Pagos!$C$6:$C$305,C118,Pagos!$D$6:$D$305,D118,Pagos!$E$6:$E$305,"&lt;="&amp;Supuestos!$D$6,Pagos!$H$6:$H$305,"OK"),"")</f>
        <v/>
      </c>
      <c r="O118" s="48" t="str">
        <f>IF(AND(Creditos!$C$7&lt;&gt;"",Creditos!$M$7="OK",53&lt;=Creditos!$H$7),MIN(J118,MAX(0,N118-K118-H118)),"")</f>
        <v/>
      </c>
      <c r="P118" s="48" t="str">
        <f>IF(AND(Creditos!$C$7&lt;&gt;"",Creditos!$M$7="OK",53&lt;=Creditos!$H$7),MAX(0,L118-N118),"")</f>
        <v/>
      </c>
      <c r="Q118" s="50" t="str">
        <f>IF(AND(Creditos!$C$7&lt;&gt;"",Creditos!$M$7="OK",53&lt;=Creditos!$H$7),IF(AND(E118&lt;Supuestos!$D$6,P118&gt;0.005),Supuestos!$D$6-E118,0),"")</f>
        <v/>
      </c>
      <c r="R118" s="48" t="str">
        <f>IF(AND(Creditos!$C$7&lt;&gt;"",Creditos!$M$7="OK",53&lt;=Creditos!$H$7),MAX(0,N118-L118),"")</f>
        <v/>
      </c>
      <c r="S118" s="46" t="str">
        <f>IF(AND(Creditos!$C$7&lt;&gt;"",Creditos!$M$7="OK",53&lt;=Creditos!$H$7),IF(R118&gt;0.005,"Exceso sin imputar",IF(P118&lt;=0.005,"Pagada",IF(E118&lt;Supuestos!$D$6,"Vencida",IF(E118=Supuestos!$D$6,"Vence hoy","Por vencer")))),"")</f>
        <v/>
      </c>
      <c r="T118" s="46">
        <f>IF(AND(Creditos!$C$7&lt;&gt;"",Creditos!$M$7="OK",53&lt;=Creditos!$H$7),IF(P118&gt;0.005,E118,999999),999999)</f>
        <v>999999</v>
      </c>
    </row>
    <row r="119" ht="25.5" customHeight="1">
      <c r="C119" s="46" t="str">
        <f>IF(AND(Creditos!$C$7&lt;&gt;"",Creditos!$M$7="OK",54&lt;=Creditos!$H$7),Creditos!$C$7,"")</f>
        <v/>
      </c>
      <c r="D119" s="46" t="str">
        <f>IF(AND(Creditos!$C$7&lt;&gt;"",Creditos!$M$7="OK",54&lt;=Creditos!$H$7),54,"")</f>
        <v/>
      </c>
      <c r="E119" s="47" t="str">
        <f>IF(AND(Creditos!$C$7&lt;&gt;"",Creditos!$M$7="OK",54&lt;=Creditos!$H$7),EDATE(Creditos!$I$7,53),"")</f>
        <v/>
      </c>
      <c r="F119" s="48" t="str">
        <f>IF(AND(Creditos!$C$7&lt;&gt;"",Creditos!$M$7="OK",54&lt;=Creditos!$H$7),M118,"")</f>
        <v/>
      </c>
      <c r="G119" s="49" t="str">
        <f>IF(AND(Creditos!$C$7&lt;&gt;"",Creditos!$M$7="OK",54&lt;=Creditos!$H$7),Creditos!$N$7,"")</f>
        <v/>
      </c>
      <c r="H119" s="48" t="str">
        <f>IF(AND(Creditos!$C$7&lt;&gt;"",Creditos!$M$7="OK",54&lt;=Creditos!$H$7),ROUND(F119*G119,2),"")</f>
        <v/>
      </c>
      <c r="I119" s="48" t="str">
        <f>IF(AND(Creditos!$C$7&lt;&gt;"",Creditos!$M$7="OK",54&lt;=Creditos!$H$7),IF(54=Creditos!$H$7,F119+H119,MIN(Creditos!$O$7,F119+H119)),"")</f>
        <v/>
      </c>
      <c r="J119" s="48" t="str">
        <f>IF(AND(Creditos!$C$7&lt;&gt;"",Creditos!$M$7="OK",54&lt;=Creditos!$H$7),MIN(F119,MAX(0,I119-H119)),"")</f>
        <v/>
      </c>
      <c r="K119" s="48" t="str">
        <f>IF(AND(Creditos!$C$7&lt;&gt;"",Creditos!$M$7="OK",54&lt;=Creditos!$H$7),Creditos!$J$7+Creditos!$K$7,"")</f>
        <v/>
      </c>
      <c r="L119" s="48" t="str">
        <f>IF(AND(Creditos!$C$7&lt;&gt;"",Creditos!$M$7="OK",54&lt;=Creditos!$H$7),I119+K119,"")</f>
        <v/>
      </c>
      <c r="M119" s="48" t="str">
        <f>IF(AND(Creditos!$C$7&lt;&gt;"",Creditos!$M$7="OK",54&lt;=Creditos!$H$7),MAX(0,F119-J119),"")</f>
        <v/>
      </c>
      <c r="N119" s="48" t="str">
        <f>IF(AND(Creditos!$C$7&lt;&gt;"",Creditos!$M$7="OK",54&lt;=Creditos!$H$7),SUMIFS(Pagos!$F$6:$F$305,Pagos!$C$6:$C$305,C119,Pagos!$D$6:$D$305,D119,Pagos!$E$6:$E$305,"&lt;="&amp;Supuestos!$D$6,Pagos!$H$6:$H$305,"OK"),"")</f>
        <v/>
      </c>
      <c r="O119" s="48" t="str">
        <f>IF(AND(Creditos!$C$7&lt;&gt;"",Creditos!$M$7="OK",54&lt;=Creditos!$H$7),MIN(J119,MAX(0,N119-K119-H119)),"")</f>
        <v/>
      </c>
      <c r="P119" s="48" t="str">
        <f>IF(AND(Creditos!$C$7&lt;&gt;"",Creditos!$M$7="OK",54&lt;=Creditos!$H$7),MAX(0,L119-N119),"")</f>
        <v/>
      </c>
      <c r="Q119" s="50" t="str">
        <f>IF(AND(Creditos!$C$7&lt;&gt;"",Creditos!$M$7="OK",54&lt;=Creditos!$H$7),IF(AND(E119&lt;Supuestos!$D$6,P119&gt;0.005),Supuestos!$D$6-E119,0),"")</f>
        <v/>
      </c>
      <c r="R119" s="48" t="str">
        <f>IF(AND(Creditos!$C$7&lt;&gt;"",Creditos!$M$7="OK",54&lt;=Creditos!$H$7),MAX(0,N119-L119),"")</f>
        <v/>
      </c>
      <c r="S119" s="46" t="str">
        <f>IF(AND(Creditos!$C$7&lt;&gt;"",Creditos!$M$7="OK",54&lt;=Creditos!$H$7),IF(R119&gt;0.005,"Exceso sin imputar",IF(P119&lt;=0.005,"Pagada",IF(E119&lt;Supuestos!$D$6,"Vencida",IF(E119=Supuestos!$D$6,"Vence hoy","Por vencer")))),"")</f>
        <v/>
      </c>
      <c r="T119" s="46">
        <f>IF(AND(Creditos!$C$7&lt;&gt;"",Creditos!$M$7="OK",54&lt;=Creditos!$H$7),IF(P119&gt;0.005,E119,999999),999999)</f>
        <v>999999</v>
      </c>
    </row>
    <row r="120" ht="25.5" customHeight="1">
      <c r="C120" s="46" t="str">
        <f>IF(AND(Creditos!$C$7&lt;&gt;"",Creditos!$M$7="OK",55&lt;=Creditos!$H$7),Creditos!$C$7,"")</f>
        <v/>
      </c>
      <c r="D120" s="46" t="str">
        <f>IF(AND(Creditos!$C$7&lt;&gt;"",Creditos!$M$7="OK",55&lt;=Creditos!$H$7),55,"")</f>
        <v/>
      </c>
      <c r="E120" s="47" t="str">
        <f>IF(AND(Creditos!$C$7&lt;&gt;"",Creditos!$M$7="OK",55&lt;=Creditos!$H$7),EDATE(Creditos!$I$7,54),"")</f>
        <v/>
      </c>
      <c r="F120" s="48" t="str">
        <f>IF(AND(Creditos!$C$7&lt;&gt;"",Creditos!$M$7="OK",55&lt;=Creditos!$H$7),M119,"")</f>
        <v/>
      </c>
      <c r="G120" s="49" t="str">
        <f>IF(AND(Creditos!$C$7&lt;&gt;"",Creditos!$M$7="OK",55&lt;=Creditos!$H$7),Creditos!$N$7,"")</f>
        <v/>
      </c>
      <c r="H120" s="48" t="str">
        <f>IF(AND(Creditos!$C$7&lt;&gt;"",Creditos!$M$7="OK",55&lt;=Creditos!$H$7),ROUND(F120*G120,2),"")</f>
        <v/>
      </c>
      <c r="I120" s="48" t="str">
        <f>IF(AND(Creditos!$C$7&lt;&gt;"",Creditos!$M$7="OK",55&lt;=Creditos!$H$7),IF(55=Creditos!$H$7,F120+H120,MIN(Creditos!$O$7,F120+H120)),"")</f>
        <v/>
      </c>
      <c r="J120" s="48" t="str">
        <f>IF(AND(Creditos!$C$7&lt;&gt;"",Creditos!$M$7="OK",55&lt;=Creditos!$H$7),MIN(F120,MAX(0,I120-H120)),"")</f>
        <v/>
      </c>
      <c r="K120" s="48" t="str">
        <f>IF(AND(Creditos!$C$7&lt;&gt;"",Creditos!$M$7="OK",55&lt;=Creditos!$H$7),Creditos!$J$7+Creditos!$K$7,"")</f>
        <v/>
      </c>
      <c r="L120" s="48" t="str">
        <f>IF(AND(Creditos!$C$7&lt;&gt;"",Creditos!$M$7="OK",55&lt;=Creditos!$H$7),I120+K120,"")</f>
        <v/>
      </c>
      <c r="M120" s="48" t="str">
        <f>IF(AND(Creditos!$C$7&lt;&gt;"",Creditos!$M$7="OK",55&lt;=Creditos!$H$7),MAX(0,F120-J120),"")</f>
        <v/>
      </c>
      <c r="N120" s="48" t="str">
        <f>IF(AND(Creditos!$C$7&lt;&gt;"",Creditos!$M$7="OK",55&lt;=Creditos!$H$7),SUMIFS(Pagos!$F$6:$F$305,Pagos!$C$6:$C$305,C120,Pagos!$D$6:$D$305,D120,Pagos!$E$6:$E$305,"&lt;="&amp;Supuestos!$D$6,Pagos!$H$6:$H$305,"OK"),"")</f>
        <v/>
      </c>
      <c r="O120" s="48" t="str">
        <f>IF(AND(Creditos!$C$7&lt;&gt;"",Creditos!$M$7="OK",55&lt;=Creditos!$H$7),MIN(J120,MAX(0,N120-K120-H120)),"")</f>
        <v/>
      </c>
      <c r="P120" s="48" t="str">
        <f>IF(AND(Creditos!$C$7&lt;&gt;"",Creditos!$M$7="OK",55&lt;=Creditos!$H$7),MAX(0,L120-N120),"")</f>
        <v/>
      </c>
      <c r="Q120" s="50" t="str">
        <f>IF(AND(Creditos!$C$7&lt;&gt;"",Creditos!$M$7="OK",55&lt;=Creditos!$H$7),IF(AND(E120&lt;Supuestos!$D$6,P120&gt;0.005),Supuestos!$D$6-E120,0),"")</f>
        <v/>
      </c>
      <c r="R120" s="48" t="str">
        <f>IF(AND(Creditos!$C$7&lt;&gt;"",Creditos!$M$7="OK",55&lt;=Creditos!$H$7),MAX(0,N120-L120),"")</f>
        <v/>
      </c>
      <c r="S120" s="46" t="str">
        <f>IF(AND(Creditos!$C$7&lt;&gt;"",Creditos!$M$7="OK",55&lt;=Creditos!$H$7),IF(R120&gt;0.005,"Exceso sin imputar",IF(P120&lt;=0.005,"Pagada",IF(E120&lt;Supuestos!$D$6,"Vencida",IF(E120=Supuestos!$D$6,"Vence hoy","Por vencer")))),"")</f>
        <v/>
      </c>
      <c r="T120" s="46">
        <f>IF(AND(Creditos!$C$7&lt;&gt;"",Creditos!$M$7="OK",55&lt;=Creditos!$H$7),IF(P120&gt;0.005,E120,999999),999999)</f>
        <v>999999</v>
      </c>
    </row>
    <row r="121" ht="25.5" customHeight="1">
      <c r="C121" s="46" t="str">
        <f>IF(AND(Creditos!$C$7&lt;&gt;"",Creditos!$M$7="OK",56&lt;=Creditos!$H$7),Creditos!$C$7,"")</f>
        <v/>
      </c>
      <c r="D121" s="46" t="str">
        <f>IF(AND(Creditos!$C$7&lt;&gt;"",Creditos!$M$7="OK",56&lt;=Creditos!$H$7),56,"")</f>
        <v/>
      </c>
      <c r="E121" s="47" t="str">
        <f>IF(AND(Creditos!$C$7&lt;&gt;"",Creditos!$M$7="OK",56&lt;=Creditos!$H$7),EDATE(Creditos!$I$7,55),"")</f>
        <v/>
      </c>
      <c r="F121" s="48" t="str">
        <f>IF(AND(Creditos!$C$7&lt;&gt;"",Creditos!$M$7="OK",56&lt;=Creditos!$H$7),M120,"")</f>
        <v/>
      </c>
      <c r="G121" s="49" t="str">
        <f>IF(AND(Creditos!$C$7&lt;&gt;"",Creditos!$M$7="OK",56&lt;=Creditos!$H$7),Creditos!$N$7,"")</f>
        <v/>
      </c>
      <c r="H121" s="48" t="str">
        <f>IF(AND(Creditos!$C$7&lt;&gt;"",Creditos!$M$7="OK",56&lt;=Creditos!$H$7),ROUND(F121*G121,2),"")</f>
        <v/>
      </c>
      <c r="I121" s="48" t="str">
        <f>IF(AND(Creditos!$C$7&lt;&gt;"",Creditos!$M$7="OK",56&lt;=Creditos!$H$7),IF(56=Creditos!$H$7,F121+H121,MIN(Creditos!$O$7,F121+H121)),"")</f>
        <v/>
      </c>
      <c r="J121" s="48" t="str">
        <f>IF(AND(Creditos!$C$7&lt;&gt;"",Creditos!$M$7="OK",56&lt;=Creditos!$H$7),MIN(F121,MAX(0,I121-H121)),"")</f>
        <v/>
      </c>
      <c r="K121" s="48" t="str">
        <f>IF(AND(Creditos!$C$7&lt;&gt;"",Creditos!$M$7="OK",56&lt;=Creditos!$H$7),Creditos!$J$7+Creditos!$K$7,"")</f>
        <v/>
      </c>
      <c r="L121" s="48" t="str">
        <f>IF(AND(Creditos!$C$7&lt;&gt;"",Creditos!$M$7="OK",56&lt;=Creditos!$H$7),I121+K121,"")</f>
        <v/>
      </c>
      <c r="M121" s="48" t="str">
        <f>IF(AND(Creditos!$C$7&lt;&gt;"",Creditos!$M$7="OK",56&lt;=Creditos!$H$7),MAX(0,F121-J121),"")</f>
        <v/>
      </c>
      <c r="N121" s="48" t="str">
        <f>IF(AND(Creditos!$C$7&lt;&gt;"",Creditos!$M$7="OK",56&lt;=Creditos!$H$7),SUMIFS(Pagos!$F$6:$F$305,Pagos!$C$6:$C$305,C121,Pagos!$D$6:$D$305,D121,Pagos!$E$6:$E$305,"&lt;="&amp;Supuestos!$D$6,Pagos!$H$6:$H$305,"OK"),"")</f>
        <v/>
      </c>
      <c r="O121" s="48" t="str">
        <f>IF(AND(Creditos!$C$7&lt;&gt;"",Creditos!$M$7="OK",56&lt;=Creditos!$H$7),MIN(J121,MAX(0,N121-K121-H121)),"")</f>
        <v/>
      </c>
      <c r="P121" s="48" t="str">
        <f>IF(AND(Creditos!$C$7&lt;&gt;"",Creditos!$M$7="OK",56&lt;=Creditos!$H$7),MAX(0,L121-N121),"")</f>
        <v/>
      </c>
      <c r="Q121" s="50" t="str">
        <f>IF(AND(Creditos!$C$7&lt;&gt;"",Creditos!$M$7="OK",56&lt;=Creditos!$H$7),IF(AND(E121&lt;Supuestos!$D$6,P121&gt;0.005),Supuestos!$D$6-E121,0),"")</f>
        <v/>
      </c>
      <c r="R121" s="48" t="str">
        <f>IF(AND(Creditos!$C$7&lt;&gt;"",Creditos!$M$7="OK",56&lt;=Creditos!$H$7),MAX(0,N121-L121),"")</f>
        <v/>
      </c>
      <c r="S121" s="46" t="str">
        <f>IF(AND(Creditos!$C$7&lt;&gt;"",Creditos!$M$7="OK",56&lt;=Creditos!$H$7),IF(R121&gt;0.005,"Exceso sin imputar",IF(P121&lt;=0.005,"Pagada",IF(E121&lt;Supuestos!$D$6,"Vencida",IF(E121=Supuestos!$D$6,"Vence hoy","Por vencer")))),"")</f>
        <v/>
      </c>
      <c r="T121" s="46">
        <f>IF(AND(Creditos!$C$7&lt;&gt;"",Creditos!$M$7="OK",56&lt;=Creditos!$H$7),IF(P121&gt;0.005,E121,999999),999999)</f>
        <v>999999</v>
      </c>
    </row>
    <row r="122" ht="25.5" customHeight="1">
      <c r="C122" s="46" t="str">
        <f>IF(AND(Creditos!$C$7&lt;&gt;"",Creditos!$M$7="OK",57&lt;=Creditos!$H$7),Creditos!$C$7,"")</f>
        <v/>
      </c>
      <c r="D122" s="46" t="str">
        <f>IF(AND(Creditos!$C$7&lt;&gt;"",Creditos!$M$7="OK",57&lt;=Creditos!$H$7),57,"")</f>
        <v/>
      </c>
      <c r="E122" s="47" t="str">
        <f>IF(AND(Creditos!$C$7&lt;&gt;"",Creditos!$M$7="OK",57&lt;=Creditos!$H$7),EDATE(Creditos!$I$7,56),"")</f>
        <v/>
      </c>
      <c r="F122" s="48" t="str">
        <f>IF(AND(Creditos!$C$7&lt;&gt;"",Creditos!$M$7="OK",57&lt;=Creditos!$H$7),M121,"")</f>
        <v/>
      </c>
      <c r="G122" s="49" t="str">
        <f>IF(AND(Creditos!$C$7&lt;&gt;"",Creditos!$M$7="OK",57&lt;=Creditos!$H$7),Creditos!$N$7,"")</f>
        <v/>
      </c>
      <c r="H122" s="48" t="str">
        <f>IF(AND(Creditos!$C$7&lt;&gt;"",Creditos!$M$7="OK",57&lt;=Creditos!$H$7),ROUND(F122*G122,2),"")</f>
        <v/>
      </c>
      <c r="I122" s="48" t="str">
        <f>IF(AND(Creditos!$C$7&lt;&gt;"",Creditos!$M$7="OK",57&lt;=Creditos!$H$7),IF(57=Creditos!$H$7,F122+H122,MIN(Creditos!$O$7,F122+H122)),"")</f>
        <v/>
      </c>
      <c r="J122" s="48" t="str">
        <f>IF(AND(Creditos!$C$7&lt;&gt;"",Creditos!$M$7="OK",57&lt;=Creditos!$H$7),MIN(F122,MAX(0,I122-H122)),"")</f>
        <v/>
      </c>
      <c r="K122" s="48" t="str">
        <f>IF(AND(Creditos!$C$7&lt;&gt;"",Creditos!$M$7="OK",57&lt;=Creditos!$H$7),Creditos!$J$7+Creditos!$K$7,"")</f>
        <v/>
      </c>
      <c r="L122" s="48" t="str">
        <f>IF(AND(Creditos!$C$7&lt;&gt;"",Creditos!$M$7="OK",57&lt;=Creditos!$H$7),I122+K122,"")</f>
        <v/>
      </c>
      <c r="M122" s="48" t="str">
        <f>IF(AND(Creditos!$C$7&lt;&gt;"",Creditos!$M$7="OK",57&lt;=Creditos!$H$7),MAX(0,F122-J122),"")</f>
        <v/>
      </c>
      <c r="N122" s="48" t="str">
        <f>IF(AND(Creditos!$C$7&lt;&gt;"",Creditos!$M$7="OK",57&lt;=Creditos!$H$7),SUMIFS(Pagos!$F$6:$F$305,Pagos!$C$6:$C$305,C122,Pagos!$D$6:$D$305,D122,Pagos!$E$6:$E$305,"&lt;="&amp;Supuestos!$D$6,Pagos!$H$6:$H$305,"OK"),"")</f>
        <v/>
      </c>
      <c r="O122" s="48" t="str">
        <f>IF(AND(Creditos!$C$7&lt;&gt;"",Creditos!$M$7="OK",57&lt;=Creditos!$H$7),MIN(J122,MAX(0,N122-K122-H122)),"")</f>
        <v/>
      </c>
      <c r="P122" s="48" t="str">
        <f>IF(AND(Creditos!$C$7&lt;&gt;"",Creditos!$M$7="OK",57&lt;=Creditos!$H$7),MAX(0,L122-N122),"")</f>
        <v/>
      </c>
      <c r="Q122" s="50" t="str">
        <f>IF(AND(Creditos!$C$7&lt;&gt;"",Creditos!$M$7="OK",57&lt;=Creditos!$H$7),IF(AND(E122&lt;Supuestos!$D$6,P122&gt;0.005),Supuestos!$D$6-E122,0),"")</f>
        <v/>
      </c>
      <c r="R122" s="48" t="str">
        <f>IF(AND(Creditos!$C$7&lt;&gt;"",Creditos!$M$7="OK",57&lt;=Creditos!$H$7),MAX(0,N122-L122),"")</f>
        <v/>
      </c>
      <c r="S122" s="46" t="str">
        <f>IF(AND(Creditos!$C$7&lt;&gt;"",Creditos!$M$7="OK",57&lt;=Creditos!$H$7),IF(R122&gt;0.005,"Exceso sin imputar",IF(P122&lt;=0.005,"Pagada",IF(E122&lt;Supuestos!$D$6,"Vencida",IF(E122=Supuestos!$D$6,"Vence hoy","Por vencer")))),"")</f>
        <v/>
      </c>
      <c r="T122" s="46">
        <f>IF(AND(Creditos!$C$7&lt;&gt;"",Creditos!$M$7="OK",57&lt;=Creditos!$H$7),IF(P122&gt;0.005,E122,999999),999999)</f>
        <v>999999</v>
      </c>
    </row>
    <row r="123" ht="25.5" customHeight="1">
      <c r="C123" s="46" t="str">
        <f>IF(AND(Creditos!$C$7&lt;&gt;"",Creditos!$M$7="OK",58&lt;=Creditos!$H$7),Creditos!$C$7,"")</f>
        <v/>
      </c>
      <c r="D123" s="46" t="str">
        <f>IF(AND(Creditos!$C$7&lt;&gt;"",Creditos!$M$7="OK",58&lt;=Creditos!$H$7),58,"")</f>
        <v/>
      </c>
      <c r="E123" s="47" t="str">
        <f>IF(AND(Creditos!$C$7&lt;&gt;"",Creditos!$M$7="OK",58&lt;=Creditos!$H$7),EDATE(Creditos!$I$7,57),"")</f>
        <v/>
      </c>
      <c r="F123" s="48" t="str">
        <f>IF(AND(Creditos!$C$7&lt;&gt;"",Creditos!$M$7="OK",58&lt;=Creditos!$H$7),M122,"")</f>
        <v/>
      </c>
      <c r="G123" s="49" t="str">
        <f>IF(AND(Creditos!$C$7&lt;&gt;"",Creditos!$M$7="OK",58&lt;=Creditos!$H$7),Creditos!$N$7,"")</f>
        <v/>
      </c>
      <c r="H123" s="48" t="str">
        <f>IF(AND(Creditos!$C$7&lt;&gt;"",Creditos!$M$7="OK",58&lt;=Creditos!$H$7),ROUND(F123*G123,2),"")</f>
        <v/>
      </c>
      <c r="I123" s="48" t="str">
        <f>IF(AND(Creditos!$C$7&lt;&gt;"",Creditos!$M$7="OK",58&lt;=Creditos!$H$7),IF(58=Creditos!$H$7,F123+H123,MIN(Creditos!$O$7,F123+H123)),"")</f>
        <v/>
      </c>
      <c r="J123" s="48" t="str">
        <f>IF(AND(Creditos!$C$7&lt;&gt;"",Creditos!$M$7="OK",58&lt;=Creditos!$H$7),MIN(F123,MAX(0,I123-H123)),"")</f>
        <v/>
      </c>
      <c r="K123" s="48" t="str">
        <f>IF(AND(Creditos!$C$7&lt;&gt;"",Creditos!$M$7="OK",58&lt;=Creditos!$H$7),Creditos!$J$7+Creditos!$K$7,"")</f>
        <v/>
      </c>
      <c r="L123" s="48" t="str">
        <f>IF(AND(Creditos!$C$7&lt;&gt;"",Creditos!$M$7="OK",58&lt;=Creditos!$H$7),I123+K123,"")</f>
        <v/>
      </c>
      <c r="M123" s="48" t="str">
        <f>IF(AND(Creditos!$C$7&lt;&gt;"",Creditos!$M$7="OK",58&lt;=Creditos!$H$7),MAX(0,F123-J123),"")</f>
        <v/>
      </c>
      <c r="N123" s="48" t="str">
        <f>IF(AND(Creditos!$C$7&lt;&gt;"",Creditos!$M$7="OK",58&lt;=Creditos!$H$7),SUMIFS(Pagos!$F$6:$F$305,Pagos!$C$6:$C$305,C123,Pagos!$D$6:$D$305,D123,Pagos!$E$6:$E$305,"&lt;="&amp;Supuestos!$D$6,Pagos!$H$6:$H$305,"OK"),"")</f>
        <v/>
      </c>
      <c r="O123" s="48" t="str">
        <f>IF(AND(Creditos!$C$7&lt;&gt;"",Creditos!$M$7="OK",58&lt;=Creditos!$H$7),MIN(J123,MAX(0,N123-K123-H123)),"")</f>
        <v/>
      </c>
      <c r="P123" s="48" t="str">
        <f>IF(AND(Creditos!$C$7&lt;&gt;"",Creditos!$M$7="OK",58&lt;=Creditos!$H$7),MAX(0,L123-N123),"")</f>
        <v/>
      </c>
      <c r="Q123" s="50" t="str">
        <f>IF(AND(Creditos!$C$7&lt;&gt;"",Creditos!$M$7="OK",58&lt;=Creditos!$H$7),IF(AND(E123&lt;Supuestos!$D$6,P123&gt;0.005),Supuestos!$D$6-E123,0),"")</f>
        <v/>
      </c>
      <c r="R123" s="48" t="str">
        <f>IF(AND(Creditos!$C$7&lt;&gt;"",Creditos!$M$7="OK",58&lt;=Creditos!$H$7),MAX(0,N123-L123),"")</f>
        <v/>
      </c>
      <c r="S123" s="46" t="str">
        <f>IF(AND(Creditos!$C$7&lt;&gt;"",Creditos!$M$7="OK",58&lt;=Creditos!$H$7),IF(R123&gt;0.005,"Exceso sin imputar",IF(P123&lt;=0.005,"Pagada",IF(E123&lt;Supuestos!$D$6,"Vencida",IF(E123=Supuestos!$D$6,"Vence hoy","Por vencer")))),"")</f>
        <v/>
      </c>
      <c r="T123" s="46">
        <f>IF(AND(Creditos!$C$7&lt;&gt;"",Creditos!$M$7="OK",58&lt;=Creditos!$H$7),IF(P123&gt;0.005,E123,999999),999999)</f>
        <v>999999</v>
      </c>
    </row>
    <row r="124" ht="25.5" customHeight="1">
      <c r="C124" s="46" t="str">
        <f>IF(AND(Creditos!$C$7&lt;&gt;"",Creditos!$M$7="OK",59&lt;=Creditos!$H$7),Creditos!$C$7,"")</f>
        <v/>
      </c>
      <c r="D124" s="46" t="str">
        <f>IF(AND(Creditos!$C$7&lt;&gt;"",Creditos!$M$7="OK",59&lt;=Creditos!$H$7),59,"")</f>
        <v/>
      </c>
      <c r="E124" s="47" t="str">
        <f>IF(AND(Creditos!$C$7&lt;&gt;"",Creditos!$M$7="OK",59&lt;=Creditos!$H$7),EDATE(Creditos!$I$7,58),"")</f>
        <v/>
      </c>
      <c r="F124" s="48" t="str">
        <f>IF(AND(Creditos!$C$7&lt;&gt;"",Creditos!$M$7="OK",59&lt;=Creditos!$H$7),M123,"")</f>
        <v/>
      </c>
      <c r="G124" s="49" t="str">
        <f>IF(AND(Creditos!$C$7&lt;&gt;"",Creditos!$M$7="OK",59&lt;=Creditos!$H$7),Creditos!$N$7,"")</f>
        <v/>
      </c>
      <c r="H124" s="48" t="str">
        <f>IF(AND(Creditos!$C$7&lt;&gt;"",Creditos!$M$7="OK",59&lt;=Creditos!$H$7),ROUND(F124*G124,2),"")</f>
        <v/>
      </c>
      <c r="I124" s="48" t="str">
        <f>IF(AND(Creditos!$C$7&lt;&gt;"",Creditos!$M$7="OK",59&lt;=Creditos!$H$7),IF(59=Creditos!$H$7,F124+H124,MIN(Creditos!$O$7,F124+H124)),"")</f>
        <v/>
      </c>
      <c r="J124" s="48" t="str">
        <f>IF(AND(Creditos!$C$7&lt;&gt;"",Creditos!$M$7="OK",59&lt;=Creditos!$H$7),MIN(F124,MAX(0,I124-H124)),"")</f>
        <v/>
      </c>
      <c r="K124" s="48" t="str">
        <f>IF(AND(Creditos!$C$7&lt;&gt;"",Creditos!$M$7="OK",59&lt;=Creditos!$H$7),Creditos!$J$7+Creditos!$K$7,"")</f>
        <v/>
      </c>
      <c r="L124" s="48" t="str">
        <f>IF(AND(Creditos!$C$7&lt;&gt;"",Creditos!$M$7="OK",59&lt;=Creditos!$H$7),I124+K124,"")</f>
        <v/>
      </c>
      <c r="M124" s="48" t="str">
        <f>IF(AND(Creditos!$C$7&lt;&gt;"",Creditos!$M$7="OK",59&lt;=Creditos!$H$7),MAX(0,F124-J124),"")</f>
        <v/>
      </c>
      <c r="N124" s="48" t="str">
        <f>IF(AND(Creditos!$C$7&lt;&gt;"",Creditos!$M$7="OK",59&lt;=Creditos!$H$7),SUMIFS(Pagos!$F$6:$F$305,Pagos!$C$6:$C$305,C124,Pagos!$D$6:$D$305,D124,Pagos!$E$6:$E$305,"&lt;="&amp;Supuestos!$D$6,Pagos!$H$6:$H$305,"OK"),"")</f>
        <v/>
      </c>
      <c r="O124" s="48" t="str">
        <f>IF(AND(Creditos!$C$7&lt;&gt;"",Creditos!$M$7="OK",59&lt;=Creditos!$H$7),MIN(J124,MAX(0,N124-K124-H124)),"")</f>
        <v/>
      </c>
      <c r="P124" s="48" t="str">
        <f>IF(AND(Creditos!$C$7&lt;&gt;"",Creditos!$M$7="OK",59&lt;=Creditos!$H$7),MAX(0,L124-N124),"")</f>
        <v/>
      </c>
      <c r="Q124" s="50" t="str">
        <f>IF(AND(Creditos!$C$7&lt;&gt;"",Creditos!$M$7="OK",59&lt;=Creditos!$H$7),IF(AND(E124&lt;Supuestos!$D$6,P124&gt;0.005),Supuestos!$D$6-E124,0),"")</f>
        <v/>
      </c>
      <c r="R124" s="48" t="str">
        <f>IF(AND(Creditos!$C$7&lt;&gt;"",Creditos!$M$7="OK",59&lt;=Creditos!$H$7),MAX(0,N124-L124),"")</f>
        <v/>
      </c>
      <c r="S124" s="46" t="str">
        <f>IF(AND(Creditos!$C$7&lt;&gt;"",Creditos!$M$7="OK",59&lt;=Creditos!$H$7),IF(R124&gt;0.005,"Exceso sin imputar",IF(P124&lt;=0.005,"Pagada",IF(E124&lt;Supuestos!$D$6,"Vencida",IF(E124=Supuestos!$D$6,"Vence hoy","Por vencer")))),"")</f>
        <v/>
      </c>
      <c r="T124" s="46">
        <f>IF(AND(Creditos!$C$7&lt;&gt;"",Creditos!$M$7="OK",59&lt;=Creditos!$H$7),IF(P124&gt;0.005,E124,999999),999999)</f>
        <v>999999</v>
      </c>
    </row>
    <row r="125" ht="25.5" customHeight="1">
      <c r="C125" s="46" t="str">
        <f>IF(AND(Creditos!$C$7&lt;&gt;"",Creditos!$M$7="OK",60&lt;=Creditos!$H$7),Creditos!$C$7,"")</f>
        <v/>
      </c>
      <c r="D125" s="46" t="str">
        <f>IF(AND(Creditos!$C$7&lt;&gt;"",Creditos!$M$7="OK",60&lt;=Creditos!$H$7),60,"")</f>
        <v/>
      </c>
      <c r="E125" s="47" t="str">
        <f>IF(AND(Creditos!$C$7&lt;&gt;"",Creditos!$M$7="OK",60&lt;=Creditos!$H$7),EDATE(Creditos!$I$7,59),"")</f>
        <v/>
      </c>
      <c r="F125" s="48" t="str">
        <f>IF(AND(Creditos!$C$7&lt;&gt;"",Creditos!$M$7="OK",60&lt;=Creditos!$H$7),M124,"")</f>
        <v/>
      </c>
      <c r="G125" s="49" t="str">
        <f>IF(AND(Creditos!$C$7&lt;&gt;"",Creditos!$M$7="OK",60&lt;=Creditos!$H$7),Creditos!$N$7,"")</f>
        <v/>
      </c>
      <c r="H125" s="48" t="str">
        <f>IF(AND(Creditos!$C$7&lt;&gt;"",Creditos!$M$7="OK",60&lt;=Creditos!$H$7),ROUND(F125*G125,2),"")</f>
        <v/>
      </c>
      <c r="I125" s="48" t="str">
        <f>IF(AND(Creditos!$C$7&lt;&gt;"",Creditos!$M$7="OK",60&lt;=Creditos!$H$7),IF(60=Creditos!$H$7,F125+H125,MIN(Creditos!$O$7,F125+H125)),"")</f>
        <v/>
      </c>
      <c r="J125" s="48" t="str">
        <f>IF(AND(Creditos!$C$7&lt;&gt;"",Creditos!$M$7="OK",60&lt;=Creditos!$H$7),MIN(F125,MAX(0,I125-H125)),"")</f>
        <v/>
      </c>
      <c r="K125" s="48" t="str">
        <f>IF(AND(Creditos!$C$7&lt;&gt;"",Creditos!$M$7="OK",60&lt;=Creditos!$H$7),Creditos!$J$7+Creditos!$K$7,"")</f>
        <v/>
      </c>
      <c r="L125" s="48" t="str">
        <f>IF(AND(Creditos!$C$7&lt;&gt;"",Creditos!$M$7="OK",60&lt;=Creditos!$H$7),I125+K125,"")</f>
        <v/>
      </c>
      <c r="M125" s="48" t="str">
        <f>IF(AND(Creditos!$C$7&lt;&gt;"",Creditos!$M$7="OK",60&lt;=Creditos!$H$7),MAX(0,F125-J125),"")</f>
        <v/>
      </c>
      <c r="N125" s="48" t="str">
        <f>IF(AND(Creditos!$C$7&lt;&gt;"",Creditos!$M$7="OK",60&lt;=Creditos!$H$7),SUMIFS(Pagos!$F$6:$F$305,Pagos!$C$6:$C$305,C125,Pagos!$D$6:$D$305,D125,Pagos!$E$6:$E$305,"&lt;="&amp;Supuestos!$D$6,Pagos!$H$6:$H$305,"OK"),"")</f>
        <v/>
      </c>
      <c r="O125" s="48" t="str">
        <f>IF(AND(Creditos!$C$7&lt;&gt;"",Creditos!$M$7="OK",60&lt;=Creditos!$H$7),MIN(J125,MAX(0,N125-K125-H125)),"")</f>
        <v/>
      </c>
      <c r="P125" s="48" t="str">
        <f>IF(AND(Creditos!$C$7&lt;&gt;"",Creditos!$M$7="OK",60&lt;=Creditos!$H$7),MAX(0,L125-N125),"")</f>
        <v/>
      </c>
      <c r="Q125" s="50" t="str">
        <f>IF(AND(Creditos!$C$7&lt;&gt;"",Creditos!$M$7="OK",60&lt;=Creditos!$H$7),IF(AND(E125&lt;Supuestos!$D$6,P125&gt;0.005),Supuestos!$D$6-E125,0),"")</f>
        <v/>
      </c>
      <c r="R125" s="48" t="str">
        <f>IF(AND(Creditos!$C$7&lt;&gt;"",Creditos!$M$7="OK",60&lt;=Creditos!$H$7),MAX(0,N125-L125),"")</f>
        <v/>
      </c>
      <c r="S125" s="46" t="str">
        <f>IF(AND(Creditos!$C$7&lt;&gt;"",Creditos!$M$7="OK",60&lt;=Creditos!$H$7),IF(R125&gt;0.005,"Exceso sin imputar",IF(P125&lt;=0.005,"Pagada",IF(E125&lt;Supuestos!$D$6,"Vencida",IF(E125=Supuestos!$D$6,"Vence hoy","Por vencer")))),"")</f>
        <v/>
      </c>
      <c r="T125" s="46">
        <f>IF(AND(Creditos!$C$7&lt;&gt;"",Creditos!$M$7="OK",60&lt;=Creditos!$H$7),IF(P125&gt;0.005,E125,999999),999999)</f>
        <v>999999</v>
      </c>
    </row>
    <row r="126" ht="25.5" customHeight="1">
      <c r="C126" s="46" t="str">
        <f>IF(AND(Creditos!$C$8&lt;&gt;"",Creditos!$M$8="OK",1&lt;=Creditos!$H$8),Creditos!$C$8,"")</f>
        <v/>
      </c>
      <c r="D126" s="46" t="str">
        <f>IF(AND(Creditos!$C$8&lt;&gt;"",Creditos!$M$8="OK",1&lt;=Creditos!$H$8),1,"")</f>
        <v/>
      </c>
      <c r="E126" s="47" t="str">
        <f>IF(AND(Creditos!$C$8&lt;&gt;"",Creditos!$M$8="OK",1&lt;=Creditos!$H$8),EDATE(Creditos!$I$8,0),"")</f>
        <v/>
      </c>
      <c r="F126" s="48" t="str">
        <f>IF(AND(Creditos!$C$8&lt;&gt;"",Creditos!$M$8="OK",1&lt;=Creditos!$H$8),Creditos!$E$8,"")</f>
        <v/>
      </c>
      <c r="G126" s="49" t="str">
        <f>IF(AND(Creditos!$C$8&lt;&gt;"",Creditos!$M$8="OK",1&lt;=Creditos!$H$8),Creditos!$N$8,"")</f>
        <v/>
      </c>
      <c r="H126" s="48" t="str">
        <f>IF(AND(Creditos!$C$8&lt;&gt;"",Creditos!$M$8="OK",1&lt;=Creditos!$H$8),ROUND(F126*G126,2),"")</f>
        <v/>
      </c>
      <c r="I126" s="48" t="str">
        <f>IF(AND(Creditos!$C$8&lt;&gt;"",Creditos!$M$8="OK",1&lt;=Creditos!$H$8),IF(1=Creditos!$H$8,F126+H126,MIN(Creditos!$O$8,F126+H126)),"")</f>
        <v/>
      </c>
      <c r="J126" s="48" t="str">
        <f>IF(AND(Creditos!$C$8&lt;&gt;"",Creditos!$M$8="OK",1&lt;=Creditos!$H$8),MIN(F126,MAX(0,I126-H126)),"")</f>
        <v/>
      </c>
      <c r="K126" s="48" t="str">
        <f>IF(AND(Creditos!$C$8&lt;&gt;"",Creditos!$M$8="OK",1&lt;=Creditos!$H$8),Creditos!$J$8+Creditos!$K$8,"")</f>
        <v/>
      </c>
      <c r="L126" s="48" t="str">
        <f>IF(AND(Creditos!$C$8&lt;&gt;"",Creditos!$M$8="OK",1&lt;=Creditos!$H$8),I126+K126,"")</f>
        <v/>
      </c>
      <c r="M126" s="48" t="str">
        <f>IF(AND(Creditos!$C$8&lt;&gt;"",Creditos!$M$8="OK",1&lt;=Creditos!$H$8),MAX(0,F126-J126),"")</f>
        <v/>
      </c>
      <c r="N126" s="48" t="str">
        <f>IF(AND(Creditos!$C$8&lt;&gt;"",Creditos!$M$8="OK",1&lt;=Creditos!$H$8),SUMIFS(Pagos!$F$6:$F$305,Pagos!$C$6:$C$305,C126,Pagos!$D$6:$D$305,D126,Pagos!$E$6:$E$305,"&lt;="&amp;Supuestos!$D$6,Pagos!$H$6:$H$305,"OK"),"")</f>
        <v/>
      </c>
      <c r="O126" s="48" t="str">
        <f>IF(AND(Creditos!$C$8&lt;&gt;"",Creditos!$M$8="OK",1&lt;=Creditos!$H$8),MIN(J126,MAX(0,N126-K126-H126)),"")</f>
        <v/>
      </c>
      <c r="P126" s="48" t="str">
        <f>IF(AND(Creditos!$C$8&lt;&gt;"",Creditos!$M$8="OK",1&lt;=Creditos!$H$8),MAX(0,L126-N126),"")</f>
        <v/>
      </c>
      <c r="Q126" s="50" t="str">
        <f>IF(AND(Creditos!$C$8&lt;&gt;"",Creditos!$M$8="OK",1&lt;=Creditos!$H$8),IF(AND(E126&lt;Supuestos!$D$6,P126&gt;0.005),Supuestos!$D$6-E126,0),"")</f>
        <v/>
      </c>
      <c r="R126" s="48" t="str">
        <f>IF(AND(Creditos!$C$8&lt;&gt;"",Creditos!$M$8="OK",1&lt;=Creditos!$H$8),MAX(0,N126-L126),"")</f>
        <v/>
      </c>
      <c r="S126" s="46" t="str">
        <f>IF(AND(Creditos!$C$8&lt;&gt;"",Creditos!$M$8="OK",1&lt;=Creditos!$H$8),IF(R126&gt;0.005,"Exceso sin imputar",IF(P126&lt;=0.005,"Pagada",IF(E126&lt;Supuestos!$D$6,"Vencida",IF(E126=Supuestos!$D$6,"Vence hoy","Por vencer")))),"")</f>
        <v/>
      </c>
      <c r="T126" s="46">
        <f>IF(AND(Creditos!$C$8&lt;&gt;"",Creditos!$M$8="OK",1&lt;=Creditos!$H$8),IF(P126&gt;0.005,E126,999999),999999)</f>
        <v>999999</v>
      </c>
    </row>
    <row r="127" ht="25.5" customHeight="1">
      <c r="C127" s="46" t="str">
        <f>IF(AND(Creditos!$C$8&lt;&gt;"",Creditos!$M$8="OK",2&lt;=Creditos!$H$8),Creditos!$C$8,"")</f>
        <v/>
      </c>
      <c r="D127" s="46" t="str">
        <f>IF(AND(Creditos!$C$8&lt;&gt;"",Creditos!$M$8="OK",2&lt;=Creditos!$H$8),2,"")</f>
        <v/>
      </c>
      <c r="E127" s="47" t="str">
        <f>IF(AND(Creditos!$C$8&lt;&gt;"",Creditos!$M$8="OK",2&lt;=Creditos!$H$8),EDATE(Creditos!$I$8,1),"")</f>
        <v/>
      </c>
      <c r="F127" s="48" t="str">
        <f>IF(AND(Creditos!$C$8&lt;&gt;"",Creditos!$M$8="OK",2&lt;=Creditos!$H$8),M126,"")</f>
        <v/>
      </c>
      <c r="G127" s="49" t="str">
        <f>IF(AND(Creditos!$C$8&lt;&gt;"",Creditos!$M$8="OK",2&lt;=Creditos!$H$8),Creditos!$N$8,"")</f>
        <v/>
      </c>
      <c r="H127" s="48" t="str">
        <f>IF(AND(Creditos!$C$8&lt;&gt;"",Creditos!$M$8="OK",2&lt;=Creditos!$H$8),ROUND(F127*G127,2),"")</f>
        <v/>
      </c>
      <c r="I127" s="48" t="str">
        <f>IF(AND(Creditos!$C$8&lt;&gt;"",Creditos!$M$8="OK",2&lt;=Creditos!$H$8),IF(2=Creditos!$H$8,F127+H127,MIN(Creditos!$O$8,F127+H127)),"")</f>
        <v/>
      </c>
      <c r="J127" s="48" t="str">
        <f>IF(AND(Creditos!$C$8&lt;&gt;"",Creditos!$M$8="OK",2&lt;=Creditos!$H$8),MIN(F127,MAX(0,I127-H127)),"")</f>
        <v/>
      </c>
      <c r="K127" s="48" t="str">
        <f>IF(AND(Creditos!$C$8&lt;&gt;"",Creditos!$M$8="OK",2&lt;=Creditos!$H$8),Creditos!$J$8+Creditos!$K$8,"")</f>
        <v/>
      </c>
      <c r="L127" s="48" t="str">
        <f>IF(AND(Creditos!$C$8&lt;&gt;"",Creditos!$M$8="OK",2&lt;=Creditos!$H$8),I127+K127,"")</f>
        <v/>
      </c>
      <c r="M127" s="48" t="str">
        <f>IF(AND(Creditos!$C$8&lt;&gt;"",Creditos!$M$8="OK",2&lt;=Creditos!$H$8),MAX(0,F127-J127),"")</f>
        <v/>
      </c>
      <c r="N127" s="48" t="str">
        <f>IF(AND(Creditos!$C$8&lt;&gt;"",Creditos!$M$8="OK",2&lt;=Creditos!$H$8),SUMIFS(Pagos!$F$6:$F$305,Pagos!$C$6:$C$305,C127,Pagos!$D$6:$D$305,D127,Pagos!$E$6:$E$305,"&lt;="&amp;Supuestos!$D$6,Pagos!$H$6:$H$305,"OK"),"")</f>
        <v/>
      </c>
      <c r="O127" s="48" t="str">
        <f>IF(AND(Creditos!$C$8&lt;&gt;"",Creditos!$M$8="OK",2&lt;=Creditos!$H$8),MIN(J127,MAX(0,N127-K127-H127)),"")</f>
        <v/>
      </c>
      <c r="P127" s="48" t="str">
        <f>IF(AND(Creditos!$C$8&lt;&gt;"",Creditos!$M$8="OK",2&lt;=Creditos!$H$8),MAX(0,L127-N127),"")</f>
        <v/>
      </c>
      <c r="Q127" s="50" t="str">
        <f>IF(AND(Creditos!$C$8&lt;&gt;"",Creditos!$M$8="OK",2&lt;=Creditos!$H$8),IF(AND(E127&lt;Supuestos!$D$6,P127&gt;0.005),Supuestos!$D$6-E127,0),"")</f>
        <v/>
      </c>
      <c r="R127" s="48" t="str">
        <f>IF(AND(Creditos!$C$8&lt;&gt;"",Creditos!$M$8="OK",2&lt;=Creditos!$H$8),MAX(0,N127-L127),"")</f>
        <v/>
      </c>
      <c r="S127" s="46" t="str">
        <f>IF(AND(Creditos!$C$8&lt;&gt;"",Creditos!$M$8="OK",2&lt;=Creditos!$H$8),IF(R127&gt;0.005,"Exceso sin imputar",IF(P127&lt;=0.005,"Pagada",IF(E127&lt;Supuestos!$D$6,"Vencida",IF(E127=Supuestos!$D$6,"Vence hoy","Por vencer")))),"")</f>
        <v/>
      </c>
      <c r="T127" s="46">
        <f>IF(AND(Creditos!$C$8&lt;&gt;"",Creditos!$M$8="OK",2&lt;=Creditos!$H$8),IF(P127&gt;0.005,E127,999999),999999)</f>
        <v>999999</v>
      </c>
    </row>
    <row r="128" ht="25.5" customHeight="1">
      <c r="C128" s="46" t="str">
        <f>IF(AND(Creditos!$C$8&lt;&gt;"",Creditos!$M$8="OK",3&lt;=Creditos!$H$8),Creditos!$C$8,"")</f>
        <v/>
      </c>
      <c r="D128" s="46" t="str">
        <f>IF(AND(Creditos!$C$8&lt;&gt;"",Creditos!$M$8="OK",3&lt;=Creditos!$H$8),3,"")</f>
        <v/>
      </c>
      <c r="E128" s="47" t="str">
        <f>IF(AND(Creditos!$C$8&lt;&gt;"",Creditos!$M$8="OK",3&lt;=Creditos!$H$8),EDATE(Creditos!$I$8,2),"")</f>
        <v/>
      </c>
      <c r="F128" s="48" t="str">
        <f>IF(AND(Creditos!$C$8&lt;&gt;"",Creditos!$M$8="OK",3&lt;=Creditos!$H$8),M127,"")</f>
        <v/>
      </c>
      <c r="G128" s="49" t="str">
        <f>IF(AND(Creditos!$C$8&lt;&gt;"",Creditos!$M$8="OK",3&lt;=Creditos!$H$8),Creditos!$N$8,"")</f>
        <v/>
      </c>
      <c r="H128" s="48" t="str">
        <f>IF(AND(Creditos!$C$8&lt;&gt;"",Creditos!$M$8="OK",3&lt;=Creditos!$H$8),ROUND(F128*G128,2),"")</f>
        <v/>
      </c>
      <c r="I128" s="48" t="str">
        <f>IF(AND(Creditos!$C$8&lt;&gt;"",Creditos!$M$8="OK",3&lt;=Creditos!$H$8),IF(3=Creditos!$H$8,F128+H128,MIN(Creditos!$O$8,F128+H128)),"")</f>
        <v/>
      </c>
      <c r="J128" s="48" t="str">
        <f>IF(AND(Creditos!$C$8&lt;&gt;"",Creditos!$M$8="OK",3&lt;=Creditos!$H$8),MIN(F128,MAX(0,I128-H128)),"")</f>
        <v/>
      </c>
      <c r="K128" s="48" t="str">
        <f>IF(AND(Creditos!$C$8&lt;&gt;"",Creditos!$M$8="OK",3&lt;=Creditos!$H$8),Creditos!$J$8+Creditos!$K$8,"")</f>
        <v/>
      </c>
      <c r="L128" s="48" t="str">
        <f>IF(AND(Creditos!$C$8&lt;&gt;"",Creditos!$M$8="OK",3&lt;=Creditos!$H$8),I128+K128,"")</f>
        <v/>
      </c>
      <c r="M128" s="48" t="str">
        <f>IF(AND(Creditos!$C$8&lt;&gt;"",Creditos!$M$8="OK",3&lt;=Creditos!$H$8),MAX(0,F128-J128),"")</f>
        <v/>
      </c>
      <c r="N128" s="48" t="str">
        <f>IF(AND(Creditos!$C$8&lt;&gt;"",Creditos!$M$8="OK",3&lt;=Creditos!$H$8),SUMIFS(Pagos!$F$6:$F$305,Pagos!$C$6:$C$305,C128,Pagos!$D$6:$D$305,D128,Pagos!$E$6:$E$305,"&lt;="&amp;Supuestos!$D$6,Pagos!$H$6:$H$305,"OK"),"")</f>
        <v/>
      </c>
      <c r="O128" s="48" t="str">
        <f>IF(AND(Creditos!$C$8&lt;&gt;"",Creditos!$M$8="OK",3&lt;=Creditos!$H$8),MIN(J128,MAX(0,N128-K128-H128)),"")</f>
        <v/>
      </c>
      <c r="P128" s="48" t="str">
        <f>IF(AND(Creditos!$C$8&lt;&gt;"",Creditos!$M$8="OK",3&lt;=Creditos!$H$8),MAX(0,L128-N128),"")</f>
        <v/>
      </c>
      <c r="Q128" s="50" t="str">
        <f>IF(AND(Creditos!$C$8&lt;&gt;"",Creditos!$M$8="OK",3&lt;=Creditos!$H$8),IF(AND(E128&lt;Supuestos!$D$6,P128&gt;0.005),Supuestos!$D$6-E128,0),"")</f>
        <v/>
      </c>
      <c r="R128" s="48" t="str">
        <f>IF(AND(Creditos!$C$8&lt;&gt;"",Creditos!$M$8="OK",3&lt;=Creditos!$H$8),MAX(0,N128-L128),"")</f>
        <v/>
      </c>
      <c r="S128" s="46" t="str">
        <f>IF(AND(Creditos!$C$8&lt;&gt;"",Creditos!$M$8="OK",3&lt;=Creditos!$H$8),IF(R128&gt;0.005,"Exceso sin imputar",IF(P128&lt;=0.005,"Pagada",IF(E128&lt;Supuestos!$D$6,"Vencida",IF(E128=Supuestos!$D$6,"Vence hoy","Por vencer")))),"")</f>
        <v/>
      </c>
      <c r="T128" s="46">
        <f>IF(AND(Creditos!$C$8&lt;&gt;"",Creditos!$M$8="OK",3&lt;=Creditos!$H$8),IF(P128&gt;0.005,E128,999999),999999)</f>
        <v>999999</v>
      </c>
    </row>
    <row r="129" ht="25.5" customHeight="1">
      <c r="C129" s="46" t="str">
        <f>IF(AND(Creditos!$C$8&lt;&gt;"",Creditos!$M$8="OK",4&lt;=Creditos!$H$8),Creditos!$C$8,"")</f>
        <v/>
      </c>
      <c r="D129" s="46" t="str">
        <f>IF(AND(Creditos!$C$8&lt;&gt;"",Creditos!$M$8="OK",4&lt;=Creditos!$H$8),4,"")</f>
        <v/>
      </c>
      <c r="E129" s="47" t="str">
        <f>IF(AND(Creditos!$C$8&lt;&gt;"",Creditos!$M$8="OK",4&lt;=Creditos!$H$8),EDATE(Creditos!$I$8,3),"")</f>
        <v/>
      </c>
      <c r="F129" s="48" t="str">
        <f>IF(AND(Creditos!$C$8&lt;&gt;"",Creditos!$M$8="OK",4&lt;=Creditos!$H$8),M128,"")</f>
        <v/>
      </c>
      <c r="G129" s="49" t="str">
        <f>IF(AND(Creditos!$C$8&lt;&gt;"",Creditos!$M$8="OK",4&lt;=Creditos!$H$8),Creditos!$N$8,"")</f>
        <v/>
      </c>
      <c r="H129" s="48" t="str">
        <f>IF(AND(Creditos!$C$8&lt;&gt;"",Creditos!$M$8="OK",4&lt;=Creditos!$H$8),ROUND(F129*G129,2),"")</f>
        <v/>
      </c>
      <c r="I129" s="48" t="str">
        <f>IF(AND(Creditos!$C$8&lt;&gt;"",Creditos!$M$8="OK",4&lt;=Creditos!$H$8),IF(4=Creditos!$H$8,F129+H129,MIN(Creditos!$O$8,F129+H129)),"")</f>
        <v/>
      </c>
      <c r="J129" s="48" t="str">
        <f>IF(AND(Creditos!$C$8&lt;&gt;"",Creditos!$M$8="OK",4&lt;=Creditos!$H$8),MIN(F129,MAX(0,I129-H129)),"")</f>
        <v/>
      </c>
      <c r="K129" s="48" t="str">
        <f>IF(AND(Creditos!$C$8&lt;&gt;"",Creditos!$M$8="OK",4&lt;=Creditos!$H$8),Creditos!$J$8+Creditos!$K$8,"")</f>
        <v/>
      </c>
      <c r="L129" s="48" t="str">
        <f>IF(AND(Creditos!$C$8&lt;&gt;"",Creditos!$M$8="OK",4&lt;=Creditos!$H$8),I129+K129,"")</f>
        <v/>
      </c>
      <c r="M129" s="48" t="str">
        <f>IF(AND(Creditos!$C$8&lt;&gt;"",Creditos!$M$8="OK",4&lt;=Creditos!$H$8),MAX(0,F129-J129),"")</f>
        <v/>
      </c>
      <c r="N129" s="48" t="str">
        <f>IF(AND(Creditos!$C$8&lt;&gt;"",Creditos!$M$8="OK",4&lt;=Creditos!$H$8),SUMIFS(Pagos!$F$6:$F$305,Pagos!$C$6:$C$305,C129,Pagos!$D$6:$D$305,D129,Pagos!$E$6:$E$305,"&lt;="&amp;Supuestos!$D$6,Pagos!$H$6:$H$305,"OK"),"")</f>
        <v/>
      </c>
      <c r="O129" s="48" t="str">
        <f>IF(AND(Creditos!$C$8&lt;&gt;"",Creditos!$M$8="OK",4&lt;=Creditos!$H$8),MIN(J129,MAX(0,N129-K129-H129)),"")</f>
        <v/>
      </c>
      <c r="P129" s="48" t="str">
        <f>IF(AND(Creditos!$C$8&lt;&gt;"",Creditos!$M$8="OK",4&lt;=Creditos!$H$8),MAX(0,L129-N129),"")</f>
        <v/>
      </c>
      <c r="Q129" s="50" t="str">
        <f>IF(AND(Creditos!$C$8&lt;&gt;"",Creditos!$M$8="OK",4&lt;=Creditos!$H$8),IF(AND(E129&lt;Supuestos!$D$6,P129&gt;0.005),Supuestos!$D$6-E129,0),"")</f>
        <v/>
      </c>
      <c r="R129" s="48" t="str">
        <f>IF(AND(Creditos!$C$8&lt;&gt;"",Creditos!$M$8="OK",4&lt;=Creditos!$H$8),MAX(0,N129-L129),"")</f>
        <v/>
      </c>
      <c r="S129" s="46" t="str">
        <f>IF(AND(Creditos!$C$8&lt;&gt;"",Creditos!$M$8="OK",4&lt;=Creditos!$H$8),IF(R129&gt;0.005,"Exceso sin imputar",IF(P129&lt;=0.005,"Pagada",IF(E129&lt;Supuestos!$D$6,"Vencida",IF(E129=Supuestos!$D$6,"Vence hoy","Por vencer")))),"")</f>
        <v/>
      </c>
      <c r="T129" s="46">
        <f>IF(AND(Creditos!$C$8&lt;&gt;"",Creditos!$M$8="OK",4&lt;=Creditos!$H$8),IF(P129&gt;0.005,E129,999999),999999)</f>
        <v>999999</v>
      </c>
    </row>
    <row r="130" ht="25.5" customHeight="1">
      <c r="C130" s="46" t="str">
        <f>IF(AND(Creditos!$C$8&lt;&gt;"",Creditos!$M$8="OK",5&lt;=Creditos!$H$8),Creditos!$C$8,"")</f>
        <v/>
      </c>
      <c r="D130" s="46" t="str">
        <f>IF(AND(Creditos!$C$8&lt;&gt;"",Creditos!$M$8="OK",5&lt;=Creditos!$H$8),5,"")</f>
        <v/>
      </c>
      <c r="E130" s="47" t="str">
        <f>IF(AND(Creditos!$C$8&lt;&gt;"",Creditos!$M$8="OK",5&lt;=Creditos!$H$8),EDATE(Creditos!$I$8,4),"")</f>
        <v/>
      </c>
      <c r="F130" s="48" t="str">
        <f>IF(AND(Creditos!$C$8&lt;&gt;"",Creditos!$M$8="OK",5&lt;=Creditos!$H$8),M129,"")</f>
        <v/>
      </c>
      <c r="G130" s="49" t="str">
        <f>IF(AND(Creditos!$C$8&lt;&gt;"",Creditos!$M$8="OK",5&lt;=Creditos!$H$8),Creditos!$N$8,"")</f>
        <v/>
      </c>
      <c r="H130" s="48" t="str">
        <f>IF(AND(Creditos!$C$8&lt;&gt;"",Creditos!$M$8="OK",5&lt;=Creditos!$H$8),ROUND(F130*G130,2),"")</f>
        <v/>
      </c>
      <c r="I130" s="48" t="str">
        <f>IF(AND(Creditos!$C$8&lt;&gt;"",Creditos!$M$8="OK",5&lt;=Creditos!$H$8),IF(5=Creditos!$H$8,F130+H130,MIN(Creditos!$O$8,F130+H130)),"")</f>
        <v/>
      </c>
      <c r="J130" s="48" t="str">
        <f>IF(AND(Creditos!$C$8&lt;&gt;"",Creditos!$M$8="OK",5&lt;=Creditos!$H$8),MIN(F130,MAX(0,I130-H130)),"")</f>
        <v/>
      </c>
      <c r="K130" s="48" t="str">
        <f>IF(AND(Creditos!$C$8&lt;&gt;"",Creditos!$M$8="OK",5&lt;=Creditos!$H$8),Creditos!$J$8+Creditos!$K$8,"")</f>
        <v/>
      </c>
      <c r="L130" s="48" t="str">
        <f>IF(AND(Creditos!$C$8&lt;&gt;"",Creditos!$M$8="OK",5&lt;=Creditos!$H$8),I130+K130,"")</f>
        <v/>
      </c>
      <c r="M130" s="48" t="str">
        <f>IF(AND(Creditos!$C$8&lt;&gt;"",Creditos!$M$8="OK",5&lt;=Creditos!$H$8),MAX(0,F130-J130),"")</f>
        <v/>
      </c>
      <c r="N130" s="48" t="str">
        <f>IF(AND(Creditos!$C$8&lt;&gt;"",Creditos!$M$8="OK",5&lt;=Creditos!$H$8),SUMIFS(Pagos!$F$6:$F$305,Pagos!$C$6:$C$305,C130,Pagos!$D$6:$D$305,D130,Pagos!$E$6:$E$305,"&lt;="&amp;Supuestos!$D$6,Pagos!$H$6:$H$305,"OK"),"")</f>
        <v/>
      </c>
      <c r="O130" s="48" t="str">
        <f>IF(AND(Creditos!$C$8&lt;&gt;"",Creditos!$M$8="OK",5&lt;=Creditos!$H$8),MIN(J130,MAX(0,N130-K130-H130)),"")</f>
        <v/>
      </c>
      <c r="P130" s="48" t="str">
        <f>IF(AND(Creditos!$C$8&lt;&gt;"",Creditos!$M$8="OK",5&lt;=Creditos!$H$8),MAX(0,L130-N130),"")</f>
        <v/>
      </c>
      <c r="Q130" s="50" t="str">
        <f>IF(AND(Creditos!$C$8&lt;&gt;"",Creditos!$M$8="OK",5&lt;=Creditos!$H$8),IF(AND(E130&lt;Supuestos!$D$6,P130&gt;0.005),Supuestos!$D$6-E130,0),"")</f>
        <v/>
      </c>
      <c r="R130" s="48" t="str">
        <f>IF(AND(Creditos!$C$8&lt;&gt;"",Creditos!$M$8="OK",5&lt;=Creditos!$H$8),MAX(0,N130-L130),"")</f>
        <v/>
      </c>
      <c r="S130" s="46" t="str">
        <f>IF(AND(Creditos!$C$8&lt;&gt;"",Creditos!$M$8="OK",5&lt;=Creditos!$H$8),IF(R130&gt;0.005,"Exceso sin imputar",IF(P130&lt;=0.005,"Pagada",IF(E130&lt;Supuestos!$D$6,"Vencida",IF(E130=Supuestos!$D$6,"Vence hoy","Por vencer")))),"")</f>
        <v/>
      </c>
      <c r="T130" s="46">
        <f>IF(AND(Creditos!$C$8&lt;&gt;"",Creditos!$M$8="OK",5&lt;=Creditos!$H$8),IF(P130&gt;0.005,E130,999999),999999)</f>
        <v>999999</v>
      </c>
    </row>
    <row r="131" ht="25.5" customHeight="1">
      <c r="C131" s="46" t="str">
        <f>IF(AND(Creditos!$C$8&lt;&gt;"",Creditos!$M$8="OK",6&lt;=Creditos!$H$8),Creditos!$C$8,"")</f>
        <v/>
      </c>
      <c r="D131" s="46" t="str">
        <f>IF(AND(Creditos!$C$8&lt;&gt;"",Creditos!$M$8="OK",6&lt;=Creditos!$H$8),6,"")</f>
        <v/>
      </c>
      <c r="E131" s="47" t="str">
        <f>IF(AND(Creditos!$C$8&lt;&gt;"",Creditos!$M$8="OK",6&lt;=Creditos!$H$8),EDATE(Creditos!$I$8,5),"")</f>
        <v/>
      </c>
      <c r="F131" s="48" t="str">
        <f>IF(AND(Creditos!$C$8&lt;&gt;"",Creditos!$M$8="OK",6&lt;=Creditos!$H$8),M130,"")</f>
        <v/>
      </c>
      <c r="G131" s="49" t="str">
        <f>IF(AND(Creditos!$C$8&lt;&gt;"",Creditos!$M$8="OK",6&lt;=Creditos!$H$8),Creditos!$N$8,"")</f>
        <v/>
      </c>
      <c r="H131" s="48" t="str">
        <f>IF(AND(Creditos!$C$8&lt;&gt;"",Creditos!$M$8="OK",6&lt;=Creditos!$H$8),ROUND(F131*G131,2),"")</f>
        <v/>
      </c>
      <c r="I131" s="48" t="str">
        <f>IF(AND(Creditos!$C$8&lt;&gt;"",Creditos!$M$8="OK",6&lt;=Creditos!$H$8),IF(6=Creditos!$H$8,F131+H131,MIN(Creditos!$O$8,F131+H131)),"")</f>
        <v/>
      </c>
      <c r="J131" s="48" t="str">
        <f>IF(AND(Creditos!$C$8&lt;&gt;"",Creditos!$M$8="OK",6&lt;=Creditos!$H$8),MIN(F131,MAX(0,I131-H131)),"")</f>
        <v/>
      </c>
      <c r="K131" s="48" t="str">
        <f>IF(AND(Creditos!$C$8&lt;&gt;"",Creditos!$M$8="OK",6&lt;=Creditos!$H$8),Creditos!$J$8+Creditos!$K$8,"")</f>
        <v/>
      </c>
      <c r="L131" s="48" t="str">
        <f>IF(AND(Creditos!$C$8&lt;&gt;"",Creditos!$M$8="OK",6&lt;=Creditos!$H$8),I131+K131,"")</f>
        <v/>
      </c>
      <c r="M131" s="48" t="str">
        <f>IF(AND(Creditos!$C$8&lt;&gt;"",Creditos!$M$8="OK",6&lt;=Creditos!$H$8),MAX(0,F131-J131),"")</f>
        <v/>
      </c>
      <c r="N131" s="48" t="str">
        <f>IF(AND(Creditos!$C$8&lt;&gt;"",Creditos!$M$8="OK",6&lt;=Creditos!$H$8),SUMIFS(Pagos!$F$6:$F$305,Pagos!$C$6:$C$305,C131,Pagos!$D$6:$D$305,D131,Pagos!$E$6:$E$305,"&lt;="&amp;Supuestos!$D$6,Pagos!$H$6:$H$305,"OK"),"")</f>
        <v/>
      </c>
      <c r="O131" s="48" t="str">
        <f>IF(AND(Creditos!$C$8&lt;&gt;"",Creditos!$M$8="OK",6&lt;=Creditos!$H$8),MIN(J131,MAX(0,N131-K131-H131)),"")</f>
        <v/>
      </c>
      <c r="P131" s="48" t="str">
        <f>IF(AND(Creditos!$C$8&lt;&gt;"",Creditos!$M$8="OK",6&lt;=Creditos!$H$8),MAX(0,L131-N131),"")</f>
        <v/>
      </c>
      <c r="Q131" s="50" t="str">
        <f>IF(AND(Creditos!$C$8&lt;&gt;"",Creditos!$M$8="OK",6&lt;=Creditos!$H$8),IF(AND(E131&lt;Supuestos!$D$6,P131&gt;0.005),Supuestos!$D$6-E131,0),"")</f>
        <v/>
      </c>
      <c r="R131" s="48" t="str">
        <f>IF(AND(Creditos!$C$8&lt;&gt;"",Creditos!$M$8="OK",6&lt;=Creditos!$H$8),MAX(0,N131-L131),"")</f>
        <v/>
      </c>
      <c r="S131" s="46" t="str">
        <f>IF(AND(Creditos!$C$8&lt;&gt;"",Creditos!$M$8="OK",6&lt;=Creditos!$H$8),IF(R131&gt;0.005,"Exceso sin imputar",IF(P131&lt;=0.005,"Pagada",IF(E131&lt;Supuestos!$D$6,"Vencida",IF(E131=Supuestos!$D$6,"Vence hoy","Por vencer")))),"")</f>
        <v/>
      </c>
      <c r="T131" s="46">
        <f>IF(AND(Creditos!$C$8&lt;&gt;"",Creditos!$M$8="OK",6&lt;=Creditos!$H$8),IF(P131&gt;0.005,E131,999999),999999)</f>
        <v>999999</v>
      </c>
    </row>
    <row r="132" ht="25.5" customHeight="1">
      <c r="C132" s="46" t="str">
        <f>IF(AND(Creditos!$C$8&lt;&gt;"",Creditos!$M$8="OK",7&lt;=Creditos!$H$8),Creditos!$C$8,"")</f>
        <v/>
      </c>
      <c r="D132" s="46" t="str">
        <f>IF(AND(Creditos!$C$8&lt;&gt;"",Creditos!$M$8="OK",7&lt;=Creditos!$H$8),7,"")</f>
        <v/>
      </c>
      <c r="E132" s="47" t="str">
        <f>IF(AND(Creditos!$C$8&lt;&gt;"",Creditos!$M$8="OK",7&lt;=Creditos!$H$8),EDATE(Creditos!$I$8,6),"")</f>
        <v/>
      </c>
      <c r="F132" s="48" t="str">
        <f>IF(AND(Creditos!$C$8&lt;&gt;"",Creditos!$M$8="OK",7&lt;=Creditos!$H$8),M131,"")</f>
        <v/>
      </c>
      <c r="G132" s="49" t="str">
        <f>IF(AND(Creditos!$C$8&lt;&gt;"",Creditos!$M$8="OK",7&lt;=Creditos!$H$8),Creditos!$N$8,"")</f>
        <v/>
      </c>
      <c r="H132" s="48" t="str">
        <f>IF(AND(Creditos!$C$8&lt;&gt;"",Creditos!$M$8="OK",7&lt;=Creditos!$H$8),ROUND(F132*G132,2),"")</f>
        <v/>
      </c>
      <c r="I132" s="48" t="str">
        <f>IF(AND(Creditos!$C$8&lt;&gt;"",Creditos!$M$8="OK",7&lt;=Creditos!$H$8),IF(7=Creditos!$H$8,F132+H132,MIN(Creditos!$O$8,F132+H132)),"")</f>
        <v/>
      </c>
      <c r="J132" s="48" t="str">
        <f>IF(AND(Creditos!$C$8&lt;&gt;"",Creditos!$M$8="OK",7&lt;=Creditos!$H$8),MIN(F132,MAX(0,I132-H132)),"")</f>
        <v/>
      </c>
      <c r="K132" s="48" t="str">
        <f>IF(AND(Creditos!$C$8&lt;&gt;"",Creditos!$M$8="OK",7&lt;=Creditos!$H$8),Creditos!$J$8+Creditos!$K$8,"")</f>
        <v/>
      </c>
      <c r="L132" s="48" t="str">
        <f>IF(AND(Creditos!$C$8&lt;&gt;"",Creditos!$M$8="OK",7&lt;=Creditos!$H$8),I132+K132,"")</f>
        <v/>
      </c>
      <c r="M132" s="48" t="str">
        <f>IF(AND(Creditos!$C$8&lt;&gt;"",Creditos!$M$8="OK",7&lt;=Creditos!$H$8),MAX(0,F132-J132),"")</f>
        <v/>
      </c>
      <c r="N132" s="48" t="str">
        <f>IF(AND(Creditos!$C$8&lt;&gt;"",Creditos!$M$8="OK",7&lt;=Creditos!$H$8),SUMIFS(Pagos!$F$6:$F$305,Pagos!$C$6:$C$305,C132,Pagos!$D$6:$D$305,D132,Pagos!$E$6:$E$305,"&lt;="&amp;Supuestos!$D$6,Pagos!$H$6:$H$305,"OK"),"")</f>
        <v/>
      </c>
      <c r="O132" s="48" t="str">
        <f>IF(AND(Creditos!$C$8&lt;&gt;"",Creditos!$M$8="OK",7&lt;=Creditos!$H$8),MIN(J132,MAX(0,N132-K132-H132)),"")</f>
        <v/>
      </c>
      <c r="P132" s="48" t="str">
        <f>IF(AND(Creditos!$C$8&lt;&gt;"",Creditos!$M$8="OK",7&lt;=Creditos!$H$8),MAX(0,L132-N132),"")</f>
        <v/>
      </c>
      <c r="Q132" s="50" t="str">
        <f>IF(AND(Creditos!$C$8&lt;&gt;"",Creditos!$M$8="OK",7&lt;=Creditos!$H$8),IF(AND(E132&lt;Supuestos!$D$6,P132&gt;0.005),Supuestos!$D$6-E132,0),"")</f>
        <v/>
      </c>
      <c r="R132" s="48" t="str">
        <f>IF(AND(Creditos!$C$8&lt;&gt;"",Creditos!$M$8="OK",7&lt;=Creditos!$H$8),MAX(0,N132-L132),"")</f>
        <v/>
      </c>
      <c r="S132" s="46" t="str">
        <f>IF(AND(Creditos!$C$8&lt;&gt;"",Creditos!$M$8="OK",7&lt;=Creditos!$H$8),IF(R132&gt;0.005,"Exceso sin imputar",IF(P132&lt;=0.005,"Pagada",IF(E132&lt;Supuestos!$D$6,"Vencida",IF(E132=Supuestos!$D$6,"Vence hoy","Por vencer")))),"")</f>
        <v/>
      </c>
      <c r="T132" s="46">
        <f>IF(AND(Creditos!$C$8&lt;&gt;"",Creditos!$M$8="OK",7&lt;=Creditos!$H$8),IF(P132&gt;0.005,E132,999999),999999)</f>
        <v>999999</v>
      </c>
    </row>
    <row r="133" ht="25.5" customHeight="1">
      <c r="C133" s="46" t="str">
        <f>IF(AND(Creditos!$C$8&lt;&gt;"",Creditos!$M$8="OK",8&lt;=Creditos!$H$8),Creditos!$C$8,"")</f>
        <v/>
      </c>
      <c r="D133" s="46" t="str">
        <f>IF(AND(Creditos!$C$8&lt;&gt;"",Creditos!$M$8="OK",8&lt;=Creditos!$H$8),8,"")</f>
        <v/>
      </c>
      <c r="E133" s="47" t="str">
        <f>IF(AND(Creditos!$C$8&lt;&gt;"",Creditos!$M$8="OK",8&lt;=Creditos!$H$8),EDATE(Creditos!$I$8,7),"")</f>
        <v/>
      </c>
      <c r="F133" s="48" t="str">
        <f>IF(AND(Creditos!$C$8&lt;&gt;"",Creditos!$M$8="OK",8&lt;=Creditos!$H$8),M132,"")</f>
        <v/>
      </c>
      <c r="G133" s="49" t="str">
        <f>IF(AND(Creditos!$C$8&lt;&gt;"",Creditos!$M$8="OK",8&lt;=Creditos!$H$8),Creditos!$N$8,"")</f>
        <v/>
      </c>
      <c r="H133" s="48" t="str">
        <f>IF(AND(Creditos!$C$8&lt;&gt;"",Creditos!$M$8="OK",8&lt;=Creditos!$H$8),ROUND(F133*G133,2),"")</f>
        <v/>
      </c>
      <c r="I133" s="48" t="str">
        <f>IF(AND(Creditos!$C$8&lt;&gt;"",Creditos!$M$8="OK",8&lt;=Creditos!$H$8),IF(8=Creditos!$H$8,F133+H133,MIN(Creditos!$O$8,F133+H133)),"")</f>
        <v/>
      </c>
      <c r="J133" s="48" t="str">
        <f>IF(AND(Creditos!$C$8&lt;&gt;"",Creditos!$M$8="OK",8&lt;=Creditos!$H$8),MIN(F133,MAX(0,I133-H133)),"")</f>
        <v/>
      </c>
      <c r="K133" s="48" t="str">
        <f>IF(AND(Creditos!$C$8&lt;&gt;"",Creditos!$M$8="OK",8&lt;=Creditos!$H$8),Creditos!$J$8+Creditos!$K$8,"")</f>
        <v/>
      </c>
      <c r="L133" s="48" t="str">
        <f>IF(AND(Creditos!$C$8&lt;&gt;"",Creditos!$M$8="OK",8&lt;=Creditos!$H$8),I133+K133,"")</f>
        <v/>
      </c>
      <c r="M133" s="48" t="str">
        <f>IF(AND(Creditos!$C$8&lt;&gt;"",Creditos!$M$8="OK",8&lt;=Creditos!$H$8),MAX(0,F133-J133),"")</f>
        <v/>
      </c>
      <c r="N133" s="48" t="str">
        <f>IF(AND(Creditos!$C$8&lt;&gt;"",Creditos!$M$8="OK",8&lt;=Creditos!$H$8),SUMIFS(Pagos!$F$6:$F$305,Pagos!$C$6:$C$305,C133,Pagos!$D$6:$D$305,D133,Pagos!$E$6:$E$305,"&lt;="&amp;Supuestos!$D$6,Pagos!$H$6:$H$305,"OK"),"")</f>
        <v/>
      </c>
      <c r="O133" s="48" t="str">
        <f>IF(AND(Creditos!$C$8&lt;&gt;"",Creditos!$M$8="OK",8&lt;=Creditos!$H$8),MIN(J133,MAX(0,N133-K133-H133)),"")</f>
        <v/>
      </c>
      <c r="P133" s="48" t="str">
        <f>IF(AND(Creditos!$C$8&lt;&gt;"",Creditos!$M$8="OK",8&lt;=Creditos!$H$8),MAX(0,L133-N133),"")</f>
        <v/>
      </c>
      <c r="Q133" s="50" t="str">
        <f>IF(AND(Creditos!$C$8&lt;&gt;"",Creditos!$M$8="OK",8&lt;=Creditos!$H$8),IF(AND(E133&lt;Supuestos!$D$6,P133&gt;0.005),Supuestos!$D$6-E133,0),"")</f>
        <v/>
      </c>
      <c r="R133" s="48" t="str">
        <f>IF(AND(Creditos!$C$8&lt;&gt;"",Creditos!$M$8="OK",8&lt;=Creditos!$H$8),MAX(0,N133-L133),"")</f>
        <v/>
      </c>
      <c r="S133" s="46" t="str">
        <f>IF(AND(Creditos!$C$8&lt;&gt;"",Creditos!$M$8="OK",8&lt;=Creditos!$H$8),IF(R133&gt;0.005,"Exceso sin imputar",IF(P133&lt;=0.005,"Pagada",IF(E133&lt;Supuestos!$D$6,"Vencida",IF(E133=Supuestos!$D$6,"Vence hoy","Por vencer")))),"")</f>
        <v/>
      </c>
      <c r="T133" s="46">
        <f>IF(AND(Creditos!$C$8&lt;&gt;"",Creditos!$M$8="OK",8&lt;=Creditos!$H$8),IF(P133&gt;0.005,E133,999999),999999)</f>
        <v>999999</v>
      </c>
    </row>
    <row r="134" ht="25.5" customHeight="1">
      <c r="C134" s="46" t="str">
        <f>IF(AND(Creditos!$C$8&lt;&gt;"",Creditos!$M$8="OK",9&lt;=Creditos!$H$8),Creditos!$C$8,"")</f>
        <v/>
      </c>
      <c r="D134" s="46" t="str">
        <f>IF(AND(Creditos!$C$8&lt;&gt;"",Creditos!$M$8="OK",9&lt;=Creditos!$H$8),9,"")</f>
        <v/>
      </c>
      <c r="E134" s="47" t="str">
        <f>IF(AND(Creditos!$C$8&lt;&gt;"",Creditos!$M$8="OK",9&lt;=Creditos!$H$8),EDATE(Creditos!$I$8,8),"")</f>
        <v/>
      </c>
      <c r="F134" s="48" t="str">
        <f>IF(AND(Creditos!$C$8&lt;&gt;"",Creditos!$M$8="OK",9&lt;=Creditos!$H$8),M133,"")</f>
        <v/>
      </c>
      <c r="G134" s="49" t="str">
        <f>IF(AND(Creditos!$C$8&lt;&gt;"",Creditos!$M$8="OK",9&lt;=Creditos!$H$8),Creditos!$N$8,"")</f>
        <v/>
      </c>
      <c r="H134" s="48" t="str">
        <f>IF(AND(Creditos!$C$8&lt;&gt;"",Creditos!$M$8="OK",9&lt;=Creditos!$H$8),ROUND(F134*G134,2),"")</f>
        <v/>
      </c>
      <c r="I134" s="48" t="str">
        <f>IF(AND(Creditos!$C$8&lt;&gt;"",Creditos!$M$8="OK",9&lt;=Creditos!$H$8),IF(9=Creditos!$H$8,F134+H134,MIN(Creditos!$O$8,F134+H134)),"")</f>
        <v/>
      </c>
      <c r="J134" s="48" t="str">
        <f>IF(AND(Creditos!$C$8&lt;&gt;"",Creditos!$M$8="OK",9&lt;=Creditos!$H$8),MIN(F134,MAX(0,I134-H134)),"")</f>
        <v/>
      </c>
      <c r="K134" s="48" t="str">
        <f>IF(AND(Creditos!$C$8&lt;&gt;"",Creditos!$M$8="OK",9&lt;=Creditos!$H$8),Creditos!$J$8+Creditos!$K$8,"")</f>
        <v/>
      </c>
      <c r="L134" s="48" t="str">
        <f>IF(AND(Creditos!$C$8&lt;&gt;"",Creditos!$M$8="OK",9&lt;=Creditos!$H$8),I134+K134,"")</f>
        <v/>
      </c>
      <c r="M134" s="48" t="str">
        <f>IF(AND(Creditos!$C$8&lt;&gt;"",Creditos!$M$8="OK",9&lt;=Creditos!$H$8),MAX(0,F134-J134),"")</f>
        <v/>
      </c>
      <c r="N134" s="48" t="str">
        <f>IF(AND(Creditos!$C$8&lt;&gt;"",Creditos!$M$8="OK",9&lt;=Creditos!$H$8),SUMIFS(Pagos!$F$6:$F$305,Pagos!$C$6:$C$305,C134,Pagos!$D$6:$D$305,D134,Pagos!$E$6:$E$305,"&lt;="&amp;Supuestos!$D$6,Pagos!$H$6:$H$305,"OK"),"")</f>
        <v/>
      </c>
      <c r="O134" s="48" t="str">
        <f>IF(AND(Creditos!$C$8&lt;&gt;"",Creditos!$M$8="OK",9&lt;=Creditos!$H$8),MIN(J134,MAX(0,N134-K134-H134)),"")</f>
        <v/>
      </c>
      <c r="P134" s="48" t="str">
        <f>IF(AND(Creditos!$C$8&lt;&gt;"",Creditos!$M$8="OK",9&lt;=Creditos!$H$8),MAX(0,L134-N134),"")</f>
        <v/>
      </c>
      <c r="Q134" s="50" t="str">
        <f>IF(AND(Creditos!$C$8&lt;&gt;"",Creditos!$M$8="OK",9&lt;=Creditos!$H$8),IF(AND(E134&lt;Supuestos!$D$6,P134&gt;0.005),Supuestos!$D$6-E134,0),"")</f>
        <v/>
      </c>
      <c r="R134" s="48" t="str">
        <f>IF(AND(Creditos!$C$8&lt;&gt;"",Creditos!$M$8="OK",9&lt;=Creditos!$H$8),MAX(0,N134-L134),"")</f>
        <v/>
      </c>
      <c r="S134" s="46" t="str">
        <f>IF(AND(Creditos!$C$8&lt;&gt;"",Creditos!$M$8="OK",9&lt;=Creditos!$H$8),IF(R134&gt;0.005,"Exceso sin imputar",IF(P134&lt;=0.005,"Pagada",IF(E134&lt;Supuestos!$D$6,"Vencida",IF(E134=Supuestos!$D$6,"Vence hoy","Por vencer")))),"")</f>
        <v/>
      </c>
      <c r="T134" s="46">
        <f>IF(AND(Creditos!$C$8&lt;&gt;"",Creditos!$M$8="OK",9&lt;=Creditos!$H$8),IF(P134&gt;0.005,E134,999999),999999)</f>
        <v>999999</v>
      </c>
    </row>
    <row r="135" ht="25.5" customHeight="1">
      <c r="C135" s="46" t="str">
        <f>IF(AND(Creditos!$C$8&lt;&gt;"",Creditos!$M$8="OK",10&lt;=Creditos!$H$8),Creditos!$C$8,"")</f>
        <v/>
      </c>
      <c r="D135" s="46" t="str">
        <f>IF(AND(Creditos!$C$8&lt;&gt;"",Creditos!$M$8="OK",10&lt;=Creditos!$H$8),10,"")</f>
        <v/>
      </c>
      <c r="E135" s="47" t="str">
        <f>IF(AND(Creditos!$C$8&lt;&gt;"",Creditos!$M$8="OK",10&lt;=Creditos!$H$8),EDATE(Creditos!$I$8,9),"")</f>
        <v/>
      </c>
      <c r="F135" s="48" t="str">
        <f>IF(AND(Creditos!$C$8&lt;&gt;"",Creditos!$M$8="OK",10&lt;=Creditos!$H$8),M134,"")</f>
        <v/>
      </c>
      <c r="G135" s="49" t="str">
        <f>IF(AND(Creditos!$C$8&lt;&gt;"",Creditos!$M$8="OK",10&lt;=Creditos!$H$8),Creditos!$N$8,"")</f>
        <v/>
      </c>
      <c r="H135" s="48" t="str">
        <f>IF(AND(Creditos!$C$8&lt;&gt;"",Creditos!$M$8="OK",10&lt;=Creditos!$H$8),ROUND(F135*G135,2),"")</f>
        <v/>
      </c>
      <c r="I135" s="48" t="str">
        <f>IF(AND(Creditos!$C$8&lt;&gt;"",Creditos!$M$8="OK",10&lt;=Creditos!$H$8),IF(10=Creditos!$H$8,F135+H135,MIN(Creditos!$O$8,F135+H135)),"")</f>
        <v/>
      </c>
      <c r="J135" s="48" t="str">
        <f>IF(AND(Creditos!$C$8&lt;&gt;"",Creditos!$M$8="OK",10&lt;=Creditos!$H$8),MIN(F135,MAX(0,I135-H135)),"")</f>
        <v/>
      </c>
      <c r="K135" s="48" t="str">
        <f>IF(AND(Creditos!$C$8&lt;&gt;"",Creditos!$M$8="OK",10&lt;=Creditos!$H$8),Creditos!$J$8+Creditos!$K$8,"")</f>
        <v/>
      </c>
      <c r="L135" s="48" t="str">
        <f>IF(AND(Creditos!$C$8&lt;&gt;"",Creditos!$M$8="OK",10&lt;=Creditos!$H$8),I135+K135,"")</f>
        <v/>
      </c>
      <c r="M135" s="48" t="str">
        <f>IF(AND(Creditos!$C$8&lt;&gt;"",Creditos!$M$8="OK",10&lt;=Creditos!$H$8),MAX(0,F135-J135),"")</f>
        <v/>
      </c>
      <c r="N135" s="48" t="str">
        <f>IF(AND(Creditos!$C$8&lt;&gt;"",Creditos!$M$8="OK",10&lt;=Creditos!$H$8),SUMIFS(Pagos!$F$6:$F$305,Pagos!$C$6:$C$305,C135,Pagos!$D$6:$D$305,D135,Pagos!$E$6:$E$305,"&lt;="&amp;Supuestos!$D$6,Pagos!$H$6:$H$305,"OK"),"")</f>
        <v/>
      </c>
      <c r="O135" s="48" t="str">
        <f>IF(AND(Creditos!$C$8&lt;&gt;"",Creditos!$M$8="OK",10&lt;=Creditos!$H$8),MIN(J135,MAX(0,N135-K135-H135)),"")</f>
        <v/>
      </c>
      <c r="P135" s="48" t="str">
        <f>IF(AND(Creditos!$C$8&lt;&gt;"",Creditos!$M$8="OK",10&lt;=Creditos!$H$8),MAX(0,L135-N135),"")</f>
        <v/>
      </c>
      <c r="Q135" s="50" t="str">
        <f>IF(AND(Creditos!$C$8&lt;&gt;"",Creditos!$M$8="OK",10&lt;=Creditos!$H$8),IF(AND(E135&lt;Supuestos!$D$6,P135&gt;0.005),Supuestos!$D$6-E135,0),"")</f>
        <v/>
      </c>
      <c r="R135" s="48" t="str">
        <f>IF(AND(Creditos!$C$8&lt;&gt;"",Creditos!$M$8="OK",10&lt;=Creditos!$H$8),MAX(0,N135-L135),"")</f>
        <v/>
      </c>
      <c r="S135" s="46" t="str">
        <f>IF(AND(Creditos!$C$8&lt;&gt;"",Creditos!$M$8="OK",10&lt;=Creditos!$H$8),IF(R135&gt;0.005,"Exceso sin imputar",IF(P135&lt;=0.005,"Pagada",IF(E135&lt;Supuestos!$D$6,"Vencida",IF(E135=Supuestos!$D$6,"Vence hoy","Por vencer")))),"")</f>
        <v/>
      </c>
      <c r="T135" s="46">
        <f>IF(AND(Creditos!$C$8&lt;&gt;"",Creditos!$M$8="OK",10&lt;=Creditos!$H$8),IF(P135&gt;0.005,E135,999999),999999)</f>
        <v>999999</v>
      </c>
    </row>
    <row r="136" ht="25.5" customHeight="1">
      <c r="C136" s="46" t="str">
        <f>IF(AND(Creditos!$C$8&lt;&gt;"",Creditos!$M$8="OK",11&lt;=Creditos!$H$8),Creditos!$C$8,"")</f>
        <v/>
      </c>
      <c r="D136" s="46" t="str">
        <f>IF(AND(Creditos!$C$8&lt;&gt;"",Creditos!$M$8="OK",11&lt;=Creditos!$H$8),11,"")</f>
        <v/>
      </c>
      <c r="E136" s="47" t="str">
        <f>IF(AND(Creditos!$C$8&lt;&gt;"",Creditos!$M$8="OK",11&lt;=Creditos!$H$8),EDATE(Creditos!$I$8,10),"")</f>
        <v/>
      </c>
      <c r="F136" s="48" t="str">
        <f>IF(AND(Creditos!$C$8&lt;&gt;"",Creditos!$M$8="OK",11&lt;=Creditos!$H$8),M135,"")</f>
        <v/>
      </c>
      <c r="G136" s="49" t="str">
        <f>IF(AND(Creditos!$C$8&lt;&gt;"",Creditos!$M$8="OK",11&lt;=Creditos!$H$8),Creditos!$N$8,"")</f>
        <v/>
      </c>
      <c r="H136" s="48" t="str">
        <f>IF(AND(Creditos!$C$8&lt;&gt;"",Creditos!$M$8="OK",11&lt;=Creditos!$H$8),ROUND(F136*G136,2),"")</f>
        <v/>
      </c>
      <c r="I136" s="48" t="str">
        <f>IF(AND(Creditos!$C$8&lt;&gt;"",Creditos!$M$8="OK",11&lt;=Creditos!$H$8),IF(11=Creditos!$H$8,F136+H136,MIN(Creditos!$O$8,F136+H136)),"")</f>
        <v/>
      </c>
      <c r="J136" s="48" t="str">
        <f>IF(AND(Creditos!$C$8&lt;&gt;"",Creditos!$M$8="OK",11&lt;=Creditos!$H$8),MIN(F136,MAX(0,I136-H136)),"")</f>
        <v/>
      </c>
      <c r="K136" s="48" t="str">
        <f>IF(AND(Creditos!$C$8&lt;&gt;"",Creditos!$M$8="OK",11&lt;=Creditos!$H$8),Creditos!$J$8+Creditos!$K$8,"")</f>
        <v/>
      </c>
      <c r="L136" s="48" t="str">
        <f>IF(AND(Creditos!$C$8&lt;&gt;"",Creditos!$M$8="OK",11&lt;=Creditos!$H$8),I136+K136,"")</f>
        <v/>
      </c>
      <c r="M136" s="48" t="str">
        <f>IF(AND(Creditos!$C$8&lt;&gt;"",Creditos!$M$8="OK",11&lt;=Creditos!$H$8),MAX(0,F136-J136),"")</f>
        <v/>
      </c>
      <c r="N136" s="48" t="str">
        <f>IF(AND(Creditos!$C$8&lt;&gt;"",Creditos!$M$8="OK",11&lt;=Creditos!$H$8),SUMIFS(Pagos!$F$6:$F$305,Pagos!$C$6:$C$305,C136,Pagos!$D$6:$D$305,D136,Pagos!$E$6:$E$305,"&lt;="&amp;Supuestos!$D$6,Pagos!$H$6:$H$305,"OK"),"")</f>
        <v/>
      </c>
      <c r="O136" s="48" t="str">
        <f>IF(AND(Creditos!$C$8&lt;&gt;"",Creditos!$M$8="OK",11&lt;=Creditos!$H$8),MIN(J136,MAX(0,N136-K136-H136)),"")</f>
        <v/>
      </c>
      <c r="P136" s="48" t="str">
        <f>IF(AND(Creditos!$C$8&lt;&gt;"",Creditos!$M$8="OK",11&lt;=Creditos!$H$8),MAX(0,L136-N136),"")</f>
        <v/>
      </c>
      <c r="Q136" s="50" t="str">
        <f>IF(AND(Creditos!$C$8&lt;&gt;"",Creditos!$M$8="OK",11&lt;=Creditos!$H$8),IF(AND(E136&lt;Supuestos!$D$6,P136&gt;0.005),Supuestos!$D$6-E136,0),"")</f>
        <v/>
      </c>
      <c r="R136" s="48" t="str">
        <f>IF(AND(Creditos!$C$8&lt;&gt;"",Creditos!$M$8="OK",11&lt;=Creditos!$H$8),MAX(0,N136-L136),"")</f>
        <v/>
      </c>
      <c r="S136" s="46" t="str">
        <f>IF(AND(Creditos!$C$8&lt;&gt;"",Creditos!$M$8="OK",11&lt;=Creditos!$H$8),IF(R136&gt;0.005,"Exceso sin imputar",IF(P136&lt;=0.005,"Pagada",IF(E136&lt;Supuestos!$D$6,"Vencida",IF(E136=Supuestos!$D$6,"Vence hoy","Por vencer")))),"")</f>
        <v/>
      </c>
      <c r="T136" s="46">
        <f>IF(AND(Creditos!$C$8&lt;&gt;"",Creditos!$M$8="OK",11&lt;=Creditos!$H$8),IF(P136&gt;0.005,E136,999999),999999)</f>
        <v>999999</v>
      </c>
    </row>
    <row r="137" ht="25.5" customHeight="1">
      <c r="C137" s="46" t="str">
        <f>IF(AND(Creditos!$C$8&lt;&gt;"",Creditos!$M$8="OK",12&lt;=Creditos!$H$8),Creditos!$C$8,"")</f>
        <v/>
      </c>
      <c r="D137" s="46" t="str">
        <f>IF(AND(Creditos!$C$8&lt;&gt;"",Creditos!$M$8="OK",12&lt;=Creditos!$H$8),12,"")</f>
        <v/>
      </c>
      <c r="E137" s="47" t="str">
        <f>IF(AND(Creditos!$C$8&lt;&gt;"",Creditos!$M$8="OK",12&lt;=Creditos!$H$8),EDATE(Creditos!$I$8,11),"")</f>
        <v/>
      </c>
      <c r="F137" s="48" t="str">
        <f>IF(AND(Creditos!$C$8&lt;&gt;"",Creditos!$M$8="OK",12&lt;=Creditos!$H$8),M136,"")</f>
        <v/>
      </c>
      <c r="G137" s="49" t="str">
        <f>IF(AND(Creditos!$C$8&lt;&gt;"",Creditos!$M$8="OK",12&lt;=Creditos!$H$8),Creditos!$N$8,"")</f>
        <v/>
      </c>
      <c r="H137" s="48" t="str">
        <f>IF(AND(Creditos!$C$8&lt;&gt;"",Creditos!$M$8="OK",12&lt;=Creditos!$H$8),ROUND(F137*G137,2),"")</f>
        <v/>
      </c>
      <c r="I137" s="48" t="str">
        <f>IF(AND(Creditos!$C$8&lt;&gt;"",Creditos!$M$8="OK",12&lt;=Creditos!$H$8),IF(12=Creditos!$H$8,F137+H137,MIN(Creditos!$O$8,F137+H137)),"")</f>
        <v/>
      </c>
      <c r="J137" s="48" t="str">
        <f>IF(AND(Creditos!$C$8&lt;&gt;"",Creditos!$M$8="OK",12&lt;=Creditos!$H$8),MIN(F137,MAX(0,I137-H137)),"")</f>
        <v/>
      </c>
      <c r="K137" s="48" t="str">
        <f>IF(AND(Creditos!$C$8&lt;&gt;"",Creditos!$M$8="OK",12&lt;=Creditos!$H$8),Creditos!$J$8+Creditos!$K$8,"")</f>
        <v/>
      </c>
      <c r="L137" s="48" t="str">
        <f>IF(AND(Creditos!$C$8&lt;&gt;"",Creditos!$M$8="OK",12&lt;=Creditos!$H$8),I137+K137,"")</f>
        <v/>
      </c>
      <c r="M137" s="48" t="str">
        <f>IF(AND(Creditos!$C$8&lt;&gt;"",Creditos!$M$8="OK",12&lt;=Creditos!$H$8),MAX(0,F137-J137),"")</f>
        <v/>
      </c>
      <c r="N137" s="48" t="str">
        <f>IF(AND(Creditos!$C$8&lt;&gt;"",Creditos!$M$8="OK",12&lt;=Creditos!$H$8),SUMIFS(Pagos!$F$6:$F$305,Pagos!$C$6:$C$305,C137,Pagos!$D$6:$D$305,D137,Pagos!$E$6:$E$305,"&lt;="&amp;Supuestos!$D$6,Pagos!$H$6:$H$305,"OK"),"")</f>
        <v/>
      </c>
      <c r="O137" s="48" t="str">
        <f>IF(AND(Creditos!$C$8&lt;&gt;"",Creditos!$M$8="OK",12&lt;=Creditos!$H$8),MIN(J137,MAX(0,N137-K137-H137)),"")</f>
        <v/>
      </c>
      <c r="P137" s="48" t="str">
        <f>IF(AND(Creditos!$C$8&lt;&gt;"",Creditos!$M$8="OK",12&lt;=Creditos!$H$8),MAX(0,L137-N137),"")</f>
        <v/>
      </c>
      <c r="Q137" s="50" t="str">
        <f>IF(AND(Creditos!$C$8&lt;&gt;"",Creditos!$M$8="OK",12&lt;=Creditos!$H$8),IF(AND(E137&lt;Supuestos!$D$6,P137&gt;0.005),Supuestos!$D$6-E137,0),"")</f>
        <v/>
      </c>
      <c r="R137" s="48" t="str">
        <f>IF(AND(Creditos!$C$8&lt;&gt;"",Creditos!$M$8="OK",12&lt;=Creditos!$H$8),MAX(0,N137-L137),"")</f>
        <v/>
      </c>
      <c r="S137" s="46" t="str">
        <f>IF(AND(Creditos!$C$8&lt;&gt;"",Creditos!$M$8="OK",12&lt;=Creditos!$H$8),IF(R137&gt;0.005,"Exceso sin imputar",IF(P137&lt;=0.005,"Pagada",IF(E137&lt;Supuestos!$D$6,"Vencida",IF(E137=Supuestos!$D$6,"Vence hoy","Por vencer")))),"")</f>
        <v/>
      </c>
      <c r="T137" s="46">
        <f>IF(AND(Creditos!$C$8&lt;&gt;"",Creditos!$M$8="OK",12&lt;=Creditos!$H$8),IF(P137&gt;0.005,E137,999999),999999)</f>
        <v>999999</v>
      </c>
    </row>
    <row r="138" ht="25.5" customHeight="1">
      <c r="C138" s="46" t="str">
        <f>IF(AND(Creditos!$C$8&lt;&gt;"",Creditos!$M$8="OK",13&lt;=Creditos!$H$8),Creditos!$C$8,"")</f>
        <v/>
      </c>
      <c r="D138" s="46" t="str">
        <f>IF(AND(Creditos!$C$8&lt;&gt;"",Creditos!$M$8="OK",13&lt;=Creditos!$H$8),13,"")</f>
        <v/>
      </c>
      <c r="E138" s="47" t="str">
        <f>IF(AND(Creditos!$C$8&lt;&gt;"",Creditos!$M$8="OK",13&lt;=Creditos!$H$8),EDATE(Creditos!$I$8,12),"")</f>
        <v/>
      </c>
      <c r="F138" s="48" t="str">
        <f>IF(AND(Creditos!$C$8&lt;&gt;"",Creditos!$M$8="OK",13&lt;=Creditos!$H$8),M137,"")</f>
        <v/>
      </c>
      <c r="G138" s="49" t="str">
        <f>IF(AND(Creditos!$C$8&lt;&gt;"",Creditos!$M$8="OK",13&lt;=Creditos!$H$8),Creditos!$N$8,"")</f>
        <v/>
      </c>
      <c r="H138" s="48" t="str">
        <f>IF(AND(Creditos!$C$8&lt;&gt;"",Creditos!$M$8="OK",13&lt;=Creditos!$H$8),ROUND(F138*G138,2),"")</f>
        <v/>
      </c>
      <c r="I138" s="48" t="str">
        <f>IF(AND(Creditos!$C$8&lt;&gt;"",Creditos!$M$8="OK",13&lt;=Creditos!$H$8),IF(13=Creditos!$H$8,F138+H138,MIN(Creditos!$O$8,F138+H138)),"")</f>
        <v/>
      </c>
      <c r="J138" s="48" t="str">
        <f>IF(AND(Creditos!$C$8&lt;&gt;"",Creditos!$M$8="OK",13&lt;=Creditos!$H$8),MIN(F138,MAX(0,I138-H138)),"")</f>
        <v/>
      </c>
      <c r="K138" s="48" t="str">
        <f>IF(AND(Creditos!$C$8&lt;&gt;"",Creditos!$M$8="OK",13&lt;=Creditos!$H$8),Creditos!$J$8+Creditos!$K$8,"")</f>
        <v/>
      </c>
      <c r="L138" s="48" t="str">
        <f>IF(AND(Creditos!$C$8&lt;&gt;"",Creditos!$M$8="OK",13&lt;=Creditos!$H$8),I138+K138,"")</f>
        <v/>
      </c>
      <c r="M138" s="48" t="str">
        <f>IF(AND(Creditos!$C$8&lt;&gt;"",Creditos!$M$8="OK",13&lt;=Creditos!$H$8),MAX(0,F138-J138),"")</f>
        <v/>
      </c>
      <c r="N138" s="48" t="str">
        <f>IF(AND(Creditos!$C$8&lt;&gt;"",Creditos!$M$8="OK",13&lt;=Creditos!$H$8),SUMIFS(Pagos!$F$6:$F$305,Pagos!$C$6:$C$305,C138,Pagos!$D$6:$D$305,D138,Pagos!$E$6:$E$305,"&lt;="&amp;Supuestos!$D$6,Pagos!$H$6:$H$305,"OK"),"")</f>
        <v/>
      </c>
      <c r="O138" s="48" t="str">
        <f>IF(AND(Creditos!$C$8&lt;&gt;"",Creditos!$M$8="OK",13&lt;=Creditos!$H$8),MIN(J138,MAX(0,N138-K138-H138)),"")</f>
        <v/>
      </c>
      <c r="P138" s="48" t="str">
        <f>IF(AND(Creditos!$C$8&lt;&gt;"",Creditos!$M$8="OK",13&lt;=Creditos!$H$8),MAX(0,L138-N138),"")</f>
        <v/>
      </c>
      <c r="Q138" s="50" t="str">
        <f>IF(AND(Creditos!$C$8&lt;&gt;"",Creditos!$M$8="OK",13&lt;=Creditos!$H$8),IF(AND(E138&lt;Supuestos!$D$6,P138&gt;0.005),Supuestos!$D$6-E138,0),"")</f>
        <v/>
      </c>
      <c r="R138" s="48" t="str">
        <f>IF(AND(Creditos!$C$8&lt;&gt;"",Creditos!$M$8="OK",13&lt;=Creditos!$H$8),MAX(0,N138-L138),"")</f>
        <v/>
      </c>
      <c r="S138" s="46" t="str">
        <f>IF(AND(Creditos!$C$8&lt;&gt;"",Creditos!$M$8="OK",13&lt;=Creditos!$H$8),IF(R138&gt;0.005,"Exceso sin imputar",IF(P138&lt;=0.005,"Pagada",IF(E138&lt;Supuestos!$D$6,"Vencida",IF(E138=Supuestos!$D$6,"Vence hoy","Por vencer")))),"")</f>
        <v/>
      </c>
      <c r="T138" s="46">
        <f>IF(AND(Creditos!$C$8&lt;&gt;"",Creditos!$M$8="OK",13&lt;=Creditos!$H$8),IF(P138&gt;0.005,E138,999999),999999)</f>
        <v>999999</v>
      </c>
    </row>
    <row r="139" ht="25.5" customHeight="1">
      <c r="C139" s="46" t="str">
        <f>IF(AND(Creditos!$C$8&lt;&gt;"",Creditos!$M$8="OK",14&lt;=Creditos!$H$8),Creditos!$C$8,"")</f>
        <v/>
      </c>
      <c r="D139" s="46" t="str">
        <f>IF(AND(Creditos!$C$8&lt;&gt;"",Creditos!$M$8="OK",14&lt;=Creditos!$H$8),14,"")</f>
        <v/>
      </c>
      <c r="E139" s="47" t="str">
        <f>IF(AND(Creditos!$C$8&lt;&gt;"",Creditos!$M$8="OK",14&lt;=Creditos!$H$8),EDATE(Creditos!$I$8,13),"")</f>
        <v/>
      </c>
      <c r="F139" s="48" t="str">
        <f>IF(AND(Creditos!$C$8&lt;&gt;"",Creditos!$M$8="OK",14&lt;=Creditos!$H$8),M138,"")</f>
        <v/>
      </c>
      <c r="G139" s="49" t="str">
        <f>IF(AND(Creditos!$C$8&lt;&gt;"",Creditos!$M$8="OK",14&lt;=Creditos!$H$8),Creditos!$N$8,"")</f>
        <v/>
      </c>
      <c r="H139" s="48" t="str">
        <f>IF(AND(Creditos!$C$8&lt;&gt;"",Creditos!$M$8="OK",14&lt;=Creditos!$H$8),ROUND(F139*G139,2),"")</f>
        <v/>
      </c>
      <c r="I139" s="48" t="str">
        <f>IF(AND(Creditos!$C$8&lt;&gt;"",Creditos!$M$8="OK",14&lt;=Creditos!$H$8),IF(14=Creditos!$H$8,F139+H139,MIN(Creditos!$O$8,F139+H139)),"")</f>
        <v/>
      </c>
      <c r="J139" s="48" t="str">
        <f>IF(AND(Creditos!$C$8&lt;&gt;"",Creditos!$M$8="OK",14&lt;=Creditos!$H$8),MIN(F139,MAX(0,I139-H139)),"")</f>
        <v/>
      </c>
      <c r="K139" s="48" t="str">
        <f>IF(AND(Creditos!$C$8&lt;&gt;"",Creditos!$M$8="OK",14&lt;=Creditos!$H$8),Creditos!$J$8+Creditos!$K$8,"")</f>
        <v/>
      </c>
      <c r="L139" s="48" t="str">
        <f>IF(AND(Creditos!$C$8&lt;&gt;"",Creditos!$M$8="OK",14&lt;=Creditos!$H$8),I139+K139,"")</f>
        <v/>
      </c>
      <c r="M139" s="48" t="str">
        <f>IF(AND(Creditos!$C$8&lt;&gt;"",Creditos!$M$8="OK",14&lt;=Creditos!$H$8),MAX(0,F139-J139),"")</f>
        <v/>
      </c>
      <c r="N139" s="48" t="str">
        <f>IF(AND(Creditos!$C$8&lt;&gt;"",Creditos!$M$8="OK",14&lt;=Creditos!$H$8),SUMIFS(Pagos!$F$6:$F$305,Pagos!$C$6:$C$305,C139,Pagos!$D$6:$D$305,D139,Pagos!$E$6:$E$305,"&lt;="&amp;Supuestos!$D$6,Pagos!$H$6:$H$305,"OK"),"")</f>
        <v/>
      </c>
      <c r="O139" s="48" t="str">
        <f>IF(AND(Creditos!$C$8&lt;&gt;"",Creditos!$M$8="OK",14&lt;=Creditos!$H$8),MIN(J139,MAX(0,N139-K139-H139)),"")</f>
        <v/>
      </c>
      <c r="P139" s="48" t="str">
        <f>IF(AND(Creditos!$C$8&lt;&gt;"",Creditos!$M$8="OK",14&lt;=Creditos!$H$8),MAX(0,L139-N139),"")</f>
        <v/>
      </c>
      <c r="Q139" s="50" t="str">
        <f>IF(AND(Creditos!$C$8&lt;&gt;"",Creditos!$M$8="OK",14&lt;=Creditos!$H$8),IF(AND(E139&lt;Supuestos!$D$6,P139&gt;0.005),Supuestos!$D$6-E139,0),"")</f>
        <v/>
      </c>
      <c r="R139" s="48" t="str">
        <f>IF(AND(Creditos!$C$8&lt;&gt;"",Creditos!$M$8="OK",14&lt;=Creditos!$H$8),MAX(0,N139-L139),"")</f>
        <v/>
      </c>
      <c r="S139" s="46" t="str">
        <f>IF(AND(Creditos!$C$8&lt;&gt;"",Creditos!$M$8="OK",14&lt;=Creditos!$H$8),IF(R139&gt;0.005,"Exceso sin imputar",IF(P139&lt;=0.005,"Pagada",IF(E139&lt;Supuestos!$D$6,"Vencida",IF(E139=Supuestos!$D$6,"Vence hoy","Por vencer")))),"")</f>
        <v/>
      </c>
      <c r="T139" s="46">
        <f>IF(AND(Creditos!$C$8&lt;&gt;"",Creditos!$M$8="OK",14&lt;=Creditos!$H$8),IF(P139&gt;0.005,E139,999999),999999)</f>
        <v>999999</v>
      </c>
    </row>
    <row r="140" ht="25.5" customHeight="1">
      <c r="C140" s="46" t="str">
        <f>IF(AND(Creditos!$C$8&lt;&gt;"",Creditos!$M$8="OK",15&lt;=Creditos!$H$8),Creditos!$C$8,"")</f>
        <v/>
      </c>
      <c r="D140" s="46" t="str">
        <f>IF(AND(Creditos!$C$8&lt;&gt;"",Creditos!$M$8="OK",15&lt;=Creditos!$H$8),15,"")</f>
        <v/>
      </c>
      <c r="E140" s="47" t="str">
        <f>IF(AND(Creditos!$C$8&lt;&gt;"",Creditos!$M$8="OK",15&lt;=Creditos!$H$8),EDATE(Creditos!$I$8,14),"")</f>
        <v/>
      </c>
      <c r="F140" s="48" t="str">
        <f>IF(AND(Creditos!$C$8&lt;&gt;"",Creditos!$M$8="OK",15&lt;=Creditos!$H$8),M139,"")</f>
        <v/>
      </c>
      <c r="G140" s="49" t="str">
        <f>IF(AND(Creditos!$C$8&lt;&gt;"",Creditos!$M$8="OK",15&lt;=Creditos!$H$8),Creditos!$N$8,"")</f>
        <v/>
      </c>
      <c r="H140" s="48" t="str">
        <f>IF(AND(Creditos!$C$8&lt;&gt;"",Creditos!$M$8="OK",15&lt;=Creditos!$H$8),ROUND(F140*G140,2),"")</f>
        <v/>
      </c>
      <c r="I140" s="48" t="str">
        <f>IF(AND(Creditos!$C$8&lt;&gt;"",Creditos!$M$8="OK",15&lt;=Creditos!$H$8),IF(15=Creditos!$H$8,F140+H140,MIN(Creditos!$O$8,F140+H140)),"")</f>
        <v/>
      </c>
      <c r="J140" s="48" t="str">
        <f>IF(AND(Creditos!$C$8&lt;&gt;"",Creditos!$M$8="OK",15&lt;=Creditos!$H$8),MIN(F140,MAX(0,I140-H140)),"")</f>
        <v/>
      </c>
      <c r="K140" s="48" t="str">
        <f>IF(AND(Creditos!$C$8&lt;&gt;"",Creditos!$M$8="OK",15&lt;=Creditos!$H$8),Creditos!$J$8+Creditos!$K$8,"")</f>
        <v/>
      </c>
      <c r="L140" s="48" t="str">
        <f>IF(AND(Creditos!$C$8&lt;&gt;"",Creditos!$M$8="OK",15&lt;=Creditos!$H$8),I140+K140,"")</f>
        <v/>
      </c>
      <c r="M140" s="48" t="str">
        <f>IF(AND(Creditos!$C$8&lt;&gt;"",Creditos!$M$8="OK",15&lt;=Creditos!$H$8),MAX(0,F140-J140),"")</f>
        <v/>
      </c>
      <c r="N140" s="48" t="str">
        <f>IF(AND(Creditos!$C$8&lt;&gt;"",Creditos!$M$8="OK",15&lt;=Creditos!$H$8),SUMIFS(Pagos!$F$6:$F$305,Pagos!$C$6:$C$305,C140,Pagos!$D$6:$D$305,D140,Pagos!$E$6:$E$305,"&lt;="&amp;Supuestos!$D$6,Pagos!$H$6:$H$305,"OK"),"")</f>
        <v/>
      </c>
      <c r="O140" s="48" t="str">
        <f>IF(AND(Creditos!$C$8&lt;&gt;"",Creditos!$M$8="OK",15&lt;=Creditos!$H$8),MIN(J140,MAX(0,N140-K140-H140)),"")</f>
        <v/>
      </c>
      <c r="P140" s="48" t="str">
        <f>IF(AND(Creditos!$C$8&lt;&gt;"",Creditos!$M$8="OK",15&lt;=Creditos!$H$8),MAX(0,L140-N140),"")</f>
        <v/>
      </c>
      <c r="Q140" s="50" t="str">
        <f>IF(AND(Creditos!$C$8&lt;&gt;"",Creditos!$M$8="OK",15&lt;=Creditos!$H$8),IF(AND(E140&lt;Supuestos!$D$6,P140&gt;0.005),Supuestos!$D$6-E140,0),"")</f>
        <v/>
      </c>
      <c r="R140" s="48" t="str">
        <f>IF(AND(Creditos!$C$8&lt;&gt;"",Creditos!$M$8="OK",15&lt;=Creditos!$H$8),MAX(0,N140-L140),"")</f>
        <v/>
      </c>
      <c r="S140" s="46" t="str">
        <f>IF(AND(Creditos!$C$8&lt;&gt;"",Creditos!$M$8="OK",15&lt;=Creditos!$H$8),IF(R140&gt;0.005,"Exceso sin imputar",IF(P140&lt;=0.005,"Pagada",IF(E140&lt;Supuestos!$D$6,"Vencida",IF(E140=Supuestos!$D$6,"Vence hoy","Por vencer")))),"")</f>
        <v/>
      </c>
      <c r="T140" s="46">
        <f>IF(AND(Creditos!$C$8&lt;&gt;"",Creditos!$M$8="OK",15&lt;=Creditos!$H$8),IF(P140&gt;0.005,E140,999999),999999)</f>
        <v>999999</v>
      </c>
    </row>
    <row r="141" ht="25.5" customHeight="1">
      <c r="C141" s="46" t="str">
        <f>IF(AND(Creditos!$C$8&lt;&gt;"",Creditos!$M$8="OK",16&lt;=Creditos!$H$8),Creditos!$C$8,"")</f>
        <v/>
      </c>
      <c r="D141" s="46" t="str">
        <f>IF(AND(Creditos!$C$8&lt;&gt;"",Creditos!$M$8="OK",16&lt;=Creditos!$H$8),16,"")</f>
        <v/>
      </c>
      <c r="E141" s="47" t="str">
        <f>IF(AND(Creditos!$C$8&lt;&gt;"",Creditos!$M$8="OK",16&lt;=Creditos!$H$8),EDATE(Creditos!$I$8,15),"")</f>
        <v/>
      </c>
      <c r="F141" s="48" t="str">
        <f>IF(AND(Creditos!$C$8&lt;&gt;"",Creditos!$M$8="OK",16&lt;=Creditos!$H$8),M140,"")</f>
        <v/>
      </c>
      <c r="G141" s="49" t="str">
        <f>IF(AND(Creditos!$C$8&lt;&gt;"",Creditos!$M$8="OK",16&lt;=Creditos!$H$8),Creditos!$N$8,"")</f>
        <v/>
      </c>
      <c r="H141" s="48" t="str">
        <f>IF(AND(Creditos!$C$8&lt;&gt;"",Creditos!$M$8="OK",16&lt;=Creditos!$H$8),ROUND(F141*G141,2),"")</f>
        <v/>
      </c>
      <c r="I141" s="48" t="str">
        <f>IF(AND(Creditos!$C$8&lt;&gt;"",Creditos!$M$8="OK",16&lt;=Creditos!$H$8),IF(16=Creditos!$H$8,F141+H141,MIN(Creditos!$O$8,F141+H141)),"")</f>
        <v/>
      </c>
      <c r="J141" s="48" t="str">
        <f>IF(AND(Creditos!$C$8&lt;&gt;"",Creditos!$M$8="OK",16&lt;=Creditos!$H$8),MIN(F141,MAX(0,I141-H141)),"")</f>
        <v/>
      </c>
      <c r="K141" s="48" t="str">
        <f>IF(AND(Creditos!$C$8&lt;&gt;"",Creditos!$M$8="OK",16&lt;=Creditos!$H$8),Creditos!$J$8+Creditos!$K$8,"")</f>
        <v/>
      </c>
      <c r="L141" s="48" t="str">
        <f>IF(AND(Creditos!$C$8&lt;&gt;"",Creditos!$M$8="OK",16&lt;=Creditos!$H$8),I141+K141,"")</f>
        <v/>
      </c>
      <c r="M141" s="48" t="str">
        <f>IF(AND(Creditos!$C$8&lt;&gt;"",Creditos!$M$8="OK",16&lt;=Creditos!$H$8),MAX(0,F141-J141),"")</f>
        <v/>
      </c>
      <c r="N141" s="48" t="str">
        <f>IF(AND(Creditos!$C$8&lt;&gt;"",Creditos!$M$8="OK",16&lt;=Creditos!$H$8),SUMIFS(Pagos!$F$6:$F$305,Pagos!$C$6:$C$305,C141,Pagos!$D$6:$D$305,D141,Pagos!$E$6:$E$305,"&lt;="&amp;Supuestos!$D$6,Pagos!$H$6:$H$305,"OK"),"")</f>
        <v/>
      </c>
      <c r="O141" s="48" t="str">
        <f>IF(AND(Creditos!$C$8&lt;&gt;"",Creditos!$M$8="OK",16&lt;=Creditos!$H$8),MIN(J141,MAX(0,N141-K141-H141)),"")</f>
        <v/>
      </c>
      <c r="P141" s="48" t="str">
        <f>IF(AND(Creditos!$C$8&lt;&gt;"",Creditos!$M$8="OK",16&lt;=Creditos!$H$8),MAX(0,L141-N141),"")</f>
        <v/>
      </c>
      <c r="Q141" s="50" t="str">
        <f>IF(AND(Creditos!$C$8&lt;&gt;"",Creditos!$M$8="OK",16&lt;=Creditos!$H$8),IF(AND(E141&lt;Supuestos!$D$6,P141&gt;0.005),Supuestos!$D$6-E141,0),"")</f>
        <v/>
      </c>
      <c r="R141" s="48" t="str">
        <f>IF(AND(Creditos!$C$8&lt;&gt;"",Creditos!$M$8="OK",16&lt;=Creditos!$H$8),MAX(0,N141-L141),"")</f>
        <v/>
      </c>
      <c r="S141" s="46" t="str">
        <f>IF(AND(Creditos!$C$8&lt;&gt;"",Creditos!$M$8="OK",16&lt;=Creditos!$H$8),IF(R141&gt;0.005,"Exceso sin imputar",IF(P141&lt;=0.005,"Pagada",IF(E141&lt;Supuestos!$D$6,"Vencida",IF(E141=Supuestos!$D$6,"Vence hoy","Por vencer")))),"")</f>
        <v/>
      </c>
      <c r="T141" s="46">
        <f>IF(AND(Creditos!$C$8&lt;&gt;"",Creditos!$M$8="OK",16&lt;=Creditos!$H$8),IF(P141&gt;0.005,E141,999999),999999)</f>
        <v>999999</v>
      </c>
    </row>
    <row r="142" ht="25.5" customHeight="1">
      <c r="C142" s="46" t="str">
        <f>IF(AND(Creditos!$C$8&lt;&gt;"",Creditos!$M$8="OK",17&lt;=Creditos!$H$8),Creditos!$C$8,"")</f>
        <v/>
      </c>
      <c r="D142" s="46" t="str">
        <f>IF(AND(Creditos!$C$8&lt;&gt;"",Creditos!$M$8="OK",17&lt;=Creditos!$H$8),17,"")</f>
        <v/>
      </c>
      <c r="E142" s="47" t="str">
        <f>IF(AND(Creditos!$C$8&lt;&gt;"",Creditos!$M$8="OK",17&lt;=Creditos!$H$8),EDATE(Creditos!$I$8,16),"")</f>
        <v/>
      </c>
      <c r="F142" s="48" t="str">
        <f>IF(AND(Creditos!$C$8&lt;&gt;"",Creditos!$M$8="OK",17&lt;=Creditos!$H$8),M141,"")</f>
        <v/>
      </c>
      <c r="G142" s="49" t="str">
        <f>IF(AND(Creditos!$C$8&lt;&gt;"",Creditos!$M$8="OK",17&lt;=Creditos!$H$8),Creditos!$N$8,"")</f>
        <v/>
      </c>
      <c r="H142" s="48" t="str">
        <f>IF(AND(Creditos!$C$8&lt;&gt;"",Creditos!$M$8="OK",17&lt;=Creditos!$H$8),ROUND(F142*G142,2),"")</f>
        <v/>
      </c>
      <c r="I142" s="48" t="str">
        <f>IF(AND(Creditos!$C$8&lt;&gt;"",Creditos!$M$8="OK",17&lt;=Creditos!$H$8),IF(17=Creditos!$H$8,F142+H142,MIN(Creditos!$O$8,F142+H142)),"")</f>
        <v/>
      </c>
      <c r="J142" s="48" t="str">
        <f>IF(AND(Creditos!$C$8&lt;&gt;"",Creditos!$M$8="OK",17&lt;=Creditos!$H$8),MIN(F142,MAX(0,I142-H142)),"")</f>
        <v/>
      </c>
      <c r="K142" s="48" t="str">
        <f>IF(AND(Creditos!$C$8&lt;&gt;"",Creditos!$M$8="OK",17&lt;=Creditos!$H$8),Creditos!$J$8+Creditos!$K$8,"")</f>
        <v/>
      </c>
      <c r="L142" s="48" t="str">
        <f>IF(AND(Creditos!$C$8&lt;&gt;"",Creditos!$M$8="OK",17&lt;=Creditos!$H$8),I142+K142,"")</f>
        <v/>
      </c>
      <c r="M142" s="48" t="str">
        <f>IF(AND(Creditos!$C$8&lt;&gt;"",Creditos!$M$8="OK",17&lt;=Creditos!$H$8),MAX(0,F142-J142),"")</f>
        <v/>
      </c>
      <c r="N142" s="48" t="str">
        <f>IF(AND(Creditos!$C$8&lt;&gt;"",Creditos!$M$8="OK",17&lt;=Creditos!$H$8),SUMIFS(Pagos!$F$6:$F$305,Pagos!$C$6:$C$305,C142,Pagos!$D$6:$D$305,D142,Pagos!$E$6:$E$305,"&lt;="&amp;Supuestos!$D$6,Pagos!$H$6:$H$305,"OK"),"")</f>
        <v/>
      </c>
      <c r="O142" s="48" t="str">
        <f>IF(AND(Creditos!$C$8&lt;&gt;"",Creditos!$M$8="OK",17&lt;=Creditos!$H$8),MIN(J142,MAX(0,N142-K142-H142)),"")</f>
        <v/>
      </c>
      <c r="P142" s="48" t="str">
        <f>IF(AND(Creditos!$C$8&lt;&gt;"",Creditos!$M$8="OK",17&lt;=Creditos!$H$8),MAX(0,L142-N142),"")</f>
        <v/>
      </c>
      <c r="Q142" s="50" t="str">
        <f>IF(AND(Creditos!$C$8&lt;&gt;"",Creditos!$M$8="OK",17&lt;=Creditos!$H$8),IF(AND(E142&lt;Supuestos!$D$6,P142&gt;0.005),Supuestos!$D$6-E142,0),"")</f>
        <v/>
      </c>
      <c r="R142" s="48" t="str">
        <f>IF(AND(Creditos!$C$8&lt;&gt;"",Creditos!$M$8="OK",17&lt;=Creditos!$H$8),MAX(0,N142-L142),"")</f>
        <v/>
      </c>
      <c r="S142" s="46" t="str">
        <f>IF(AND(Creditos!$C$8&lt;&gt;"",Creditos!$M$8="OK",17&lt;=Creditos!$H$8),IF(R142&gt;0.005,"Exceso sin imputar",IF(P142&lt;=0.005,"Pagada",IF(E142&lt;Supuestos!$D$6,"Vencida",IF(E142=Supuestos!$D$6,"Vence hoy","Por vencer")))),"")</f>
        <v/>
      </c>
      <c r="T142" s="46">
        <f>IF(AND(Creditos!$C$8&lt;&gt;"",Creditos!$M$8="OK",17&lt;=Creditos!$H$8),IF(P142&gt;0.005,E142,999999),999999)</f>
        <v>999999</v>
      </c>
    </row>
    <row r="143" ht="25.5" customHeight="1">
      <c r="C143" s="46" t="str">
        <f>IF(AND(Creditos!$C$8&lt;&gt;"",Creditos!$M$8="OK",18&lt;=Creditos!$H$8),Creditos!$C$8,"")</f>
        <v/>
      </c>
      <c r="D143" s="46" t="str">
        <f>IF(AND(Creditos!$C$8&lt;&gt;"",Creditos!$M$8="OK",18&lt;=Creditos!$H$8),18,"")</f>
        <v/>
      </c>
      <c r="E143" s="47" t="str">
        <f>IF(AND(Creditos!$C$8&lt;&gt;"",Creditos!$M$8="OK",18&lt;=Creditos!$H$8),EDATE(Creditos!$I$8,17),"")</f>
        <v/>
      </c>
      <c r="F143" s="48" t="str">
        <f>IF(AND(Creditos!$C$8&lt;&gt;"",Creditos!$M$8="OK",18&lt;=Creditos!$H$8),M142,"")</f>
        <v/>
      </c>
      <c r="G143" s="49" t="str">
        <f>IF(AND(Creditos!$C$8&lt;&gt;"",Creditos!$M$8="OK",18&lt;=Creditos!$H$8),Creditos!$N$8,"")</f>
        <v/>
      </c>
      <c r="H143" s="48" t="str">
        <f>IF(AND(Creditos!$C$8&lt;&gt;"",Creditos!$M$8="OK",18&lt;=Creditos!$H$8),ROUND(F143*G143,2),"")</f>
        <v/>
      </c>
      <c r="I143" s="48" t="str">
        <f>IF(AND(Creditos!$C$8&lt;&gt;"",Creditos!$M$8="OK",18&lt;=Creditos!$H$8),IF(18=Creditos!$H$8,F143+H143,MIN(Creditos!$O$8,F143+H143)),"")</f>
        <v/>
      </c>
      <c r="J143" s="48" t="str">
        <f>IF(AND(Creditos!$C$8&lt;&gt;"",Creditos!$M$8="OK",18&lt;=Creditos!$H$8),MIN(F143,MAX(0,I143-H143)),"")</f>
        <v/>
      </c>
      <c r="K143" s="48" t="str">
        <f>IF(AND(Creditos!$C$8&lt;&gt;"",Creditos!$M$8="OK",18&lt;=Creditos!$H$8),Creditos!$J$8+Creditos!$K$8,"")</f>
        <v/>
      </c>
      <c r="L143" s="48" t="str">
        <f>IF(AND(Creditos!$C$8&lt;&gt;"",Creditos!$M$8="OK",18&lt;=Creditos!$H$8),I143+K143,"")</f>
        <v/>
      </c>
      <c r="M143" s="48" t="str">
        <f>IF(AND(Creditos!$C$8&lt;&gt;"",Creditos!$M$8="OK",18&lt;=Creditos!$H$8),MAX(0,F143-J143),"")</f>
        <v/>
      </c>
      <c r="N143" s="48" t="str">
        <f>IF(AND(Creditos!$C$8&lt;&gt;"",Creditos!$M$8="OK",18&lt;=Creditos!$H$8),SUMIFS(Pagos!$F$6:$F$305,Pagos!$C$6:$C$305,C143,Pagos!$D$6:$D$305,D143,Pagos!$E$6:$E$305,"&lt;="&amp;Supuestos!$D$6,Pagos!$H$6:$H$305,"OK"),"")</f>
        <v/>
      </c>
      <c r="O143" s="48" t="str">
        <f>IF(AND(Creditos!$C$8&lt;&gt;"",Creditos!$M$8="OK",18&lt;=Creditos!$H$8),MIN(J143,MAX(0,N143-K143-H143)),"")</f>
        <v/>
      </c>
      <c r="P143" s="48" t="str">
        <f>IF(AND(Creditos!$C$8&lt;&gt;"",Creditos!$M$8="OK",18&lt;=Creditos!$H$8),MAX(0,L143-N143),"")</f>
        <v/>
      </c>
      <c r="Q143" s="50" t="str">
        <f>IF(AND(Creditos!$C$8&lt;&gt;"",Creditos!$M$8="OK",18&lt;=Creditos!$H$8),IF(AND(E143&lt;Supuestos!$D$6,P143&gt;0.005),Supuestos!$D$6-E143,0),"")</f>
        <v/>
      </c>
      <c r="R143" s="48" t="str">
        <f>IF(AND(Creditos!$C$8&lt;&gt;"",Creditos!$M$8="OK",18&lt;=Creditos!$H$8),MAX(0,N143-L143),"")</f>
        <v/>
      </c>
      <c r="S143" s="46" t="str">
        <f>IF(AND(Creditos!$C$8&lt;&gt;"",Creditos!$M$8="OK",18&lt;=Creditos!$H$8),IF(R143&gt;0.005,"Exceso sin imputar",IF(P143&lt;=0.005,"Pagada",IF(E143&lt;Supuestos!$D$6,"Vencida",IF(E143=Supuestos!$D$6,"Vence hoy","Por vencer")))),"")</f>
        <v/>
      </c>
      <c r="T143" s="46">
        <f>IF(AND(Creditos!$C$8&lt;&gt;"",Creditos!$M$8="OK",18&lt;=Creditos!$H$8),IF(P143&gt;0.005,E143,999999),999999)</f>
        <v>999999</v>
      </c>
    </row>
    <row r="144" ht="25.5" customHeight="1">
      <c r="C144" s="46" t="str">
        <f>IF(AND(Creditos!$C$8&lt;&gt;"",Creditos!$M$8="OK",19&lt;=Creditos!$H$8),Creditos!$C$8,"")</f>
        <v/>
      </c>
      <c r="D144" s="46" t="str">
        <f>IF(AND(Creditos!$C$8&lt;&gt;"",Creditos!$M$8="OK",19&lt;=Creditos!$H$8),19,"")</f>
        <v/>
      </c>
      <c r="E144" s="47" t="str">
        <f>IF(AND(Creditos!$C$8&lt;&gt;"",Creditos!$M$8="OK",19&lt;=Creditos!$H$8),EDATE(Creditos!$I$8,18),"")</f>
        <v/>
      </c>
      <c r="F144" s="48" t="str">
        <f>IF(AND(Creditos!$C$8&lt;&gt;"",Creditos!$M$8="OK",19&lt;=Creditos!$H$8),M143,"")</f>
        <v/>
      </c>
      <c r="G144" s="49" t="str">
        <f>IF(AND(Creditos!$C$8&lt;&gt;"",Creditos!$M$8="OK",19&lt;=Creditos!$H$8),Creditos!$N$8,"")</f>
        <v/>
      </c>
      <c r="H144" s="48" t="str">
        <f>IF(AND(Creditos!$C$8&lt;&gt;"",Creditos!$M$8="OK",19&lt;=Creditos!$H$8),ROUND(F144*G144,2),"")</f>
        <v/>
      </c>
      <c r="I144" s="48" t="str">
        <f>IF(AND(Creditos!$C$8&lt;&gt;"",Creditos!$M$8="OK",19&lt;=Creditos!$H$8),IF(19=Creditos!$H$8,F144+H144,MIN(Creditos!$O$8,F144+H144)),"")</f>
        <v/>
      </c>
      <c r="J144" s="48" t="str">
        <f>IF(AND(Creditos!$C$8&lt;&gt;"",Creditos!$M$8="OK",19&lt;=Creditos!$H$8),MIN(F144,MAX(0,I144-H144)),"")</f>
        <v/>
      </c>
      <c r="K144" s="48" t="str">
        <f>IF(AND(Creditos!$C$8&lt;&gt;"",Creditos!$M$8="OK",19&lt;=Creditos!$H$8),Creditos!$J$8+Creditos!$K$8,"")</f>
        <v/>
      </c>
      <c r="L144" s="48" t="str">
        <f>IF(AND(Creditos!$C$8&lt;&gt;"",Creditos!$M$8="OK",19&lt;=Creditos!$H$8),I144+K144,"")</f>
        <v/>
      </c>
      <c r="M144" s="48" t="str">
        <f>IF(AND(Creditos!$C$8&lt;&gt;"",Creditos!$M$8="OK",19&lt;=Creditos!$H$8),MAX(0,F144-J144),"")</f>
        <v/>
      </c>
      <c r="N144" s="48" t="str">
        <f>IF(AND(Creditos!$C$8&lt;&gt;"",Creditos!$M$8="OK",19&lt;=Creditos!$H$8),SUMIFS(Pagos!$F$6:$F$305,Pagos!$C$6:$C$305,C144,Pagos!$D$6:$D$305,D144,Pagos!$E$6:$E$305,"&lt;="&amp;Supuestos!$D$6,Pagos!$H$6:$H$305,"OK"),"")</f>
        <v/>
      </c>
      <c r="O144" s="48" t="str">
        <f>IF(AND(Creditos!$C$8&lt;&gt;"",Creditos!$M$8="OK",19&lt;=Creditos!$H$8),MIN(J144,MAX(0,N144-K144-H144)),"")</f>
        <v/>
      </c>
      <c r="P144" s="48" t="str">
        <f>IF(AND(Creditos!$C$8&lt;&gt;"",Creditos!$M$8="OK",19&lt;=Creditos!$H$8),MAX(0,L144-N144),"")</f>
        <v/>
      </c>
      <c r="Q144" s="50" t="str">
        <f>IF(AND(Creditos!$C$8&lt;&gt;"",Creditos!$M$8="OK",19&lt;=Creditos!$H$8),IF(AND(E144&lt;Supuestos!$D$6,P144&gt;0.005),Supuestos!$D$6-E144,0),"")</f>
        <v/>
      </c>
      <c r="R144" s="48" t="str">
        <f>IF(AND(Creditos!$C$8&lt;&gt;"",Creditos!$M$8="OK",19&lt;=Creditos!$H$8),MAX(0,N144-L144),"")</f>
        <v/>
      </c>
      <c r="S144" s="46" t="str">
        <f>IF(AND(Creditos!$C$8&lt;&gt;"",Creditos!$M$8="OK",19&lt;=Creditos!$H$8),IF(R144&gt;0.005,"Exceso sin imputar",IF(P144&lt;=0.005,"Pagada",IF(E144&lt;Supuestos!$D$6,"Vencida",IF(E144=Supuestos!$D$6,"Vence hoy","Por vencer")))),"")</f>
        <v/>
      </c>
      <c r="T144" s="46">
        <f>IF(AND(Creditos!$C$8&lt;&gt;"",Creditos!$M$8="OK",19&lt;=Creditos!$H$8),IF(P144&gt;0.005,E144,999999),999999)</f>
        <v>999999</v>
      </c>
    </row>
    <row r="145" ht="25.5" customHeight="1">
      <c r="C145" s="46" t="str">
        <f>IF(AND(Creditos!$C$8&lt;&gt;"",Creditos!$M$8="OK",20&lt;=Creditos!$H$8),Creditos!$C$8,"")</f>
        <v/>
      </c>
      <c r="D145" s="46" t="str">
        <f>IF(AND(Creditos!$C$8&lt;&gt;"",Creditos!$M$8="OK",20&lt;=Creditos!$H$8),20,"")</f>
        <v/>
      </c>
      <c r="E145" s="47" t="str">
        <f>IF(AND(Creditos!$C$8&lt;&gt;"",Creditos!$M$8="OK",20&lt;=Creditos!$H$8),EDATE(Creditos!$I$8,19),"")</f>
        <v/>
      </c>
      <c r="F145" s="48" t="str">
        <f>IF(AND(Creditos!$C$8&lt;&gt;"",Creditos!$M$8="OK",20&lt;=Creditos!$H$8),M144,"")</f>
        <v/>
      </c>
      <c r="G145" s="49" t="str">
        <f>IF(AND(Creditos!$C$8&lt;&gt;"",Creditos!$M$8="OK",20&lt;=Creditos!$H$8),Creditos!$N$8,"")</f>
        <v/>
      </c>
      <c r="H145" s="48" t="str">
        <f>IF(AND(Creditos!$C$8&lt;&gt;"",Creditos!$M$8="OK",20&lt;=Creditos!$H$8),ROUND(F145*G145,2),"")</f>
        <v/>
      </c>
      <c r="I145" s="48" t="str">
        <f>IF(AND(Creditos!$C$8&lt;&gt;"",Creditos!$M$8="OK",20&lt;=Creditos!$H$8),IF(20=Creditos!$H$8,F145+H145,MIN(Creditos!$O$8,F145+H145)),"")</f>
        <v/>
      </c>
      <c r="J145" s="48" t="str">
        <f>IF(AND(Creditos!$C$8&lt;&gt;"",Creditos!$M$8="OK",20&lt;=Creditos!$H$8),MIN(F145,MAX(0,I145-H145)),"")</f>
        <v/>
      </c>
      <c r="K145" s="48" t="str">
        <f>IF(AND(Creditos!$C$8&lt;&gt;"",Creditos!$M$8="OK",20&lt;=Creditos!$H$8),Creditos!$J$8+Creditos!$K$8,"")</f>
        <v/>
      </c>
      <c r="L145" s="48" t="str">
        <f>IF(AND(Creditos!$C$8&lt;&gt;"",Creditos!$M$8="OK",20&lt;=Creditos!$H$8),I145+K145,"")</f>
        <v/>
      </c>
      <c r="M145" s="48" t="str">
        <f>IF(AND(Creditos!$C$8&lt;&gt;"",Creditos!$M$8="OK",20&lt;=Creditos!$H$8),MAX(0,F145-J145),"")</f>
        <v/>
      </c>
      <c r="N145" s="48" t="str">
        <f>IF(AND(Creditos!$C$8&lt;&gt;"",Creditos!$M$8="OK",20&lt;=Creditos!$H$8),SUMIFS(Pagos!$F$6:$F$305,Pagos!$C$6:$C$305,C145,Pagos!$D$6:$D$305,D145,Pagos!$E$6:$E$305,"&lt;="&amp;Supuestos!$D$6,Pagos!$H$6:$H$305,"OK"),"")</f>
        <v/>
      </c>
      <c r="O145" s="48" t="str">
        <f>IF(AND(Creditos!$C$8&lt;&gt;"",Creditos!$M$8="OK",20&lt;=Creditos!$H$8),MIN(J145,MAX(0,N145-K145-H145)),"")</f>
        <v/>
      </c>
      <c r="P145" s="48" t="str">
        <f>IF(AND(Creditos!$C$8&lt;&gt;"",Creditos!$M$8="OK",20&lt;=Creditos!$H$8),MAX(0,L145-N145),"")</f>
        <v/>
      </c>
      <c r="Q145" s="50" t="str">
        <f>IF(AND(Creditos!$C$8&lt;&gt;"",Creditos!$M$8="OK",20&lt;=Creditos!$H$8),IF(AND(E145&lt;Supuestos!$D$6,P145&gt;0.005),Supuestos!$D$6-E145,0),"")</f>
        <v/>
      </c>
      <c r="R145" s="48" t="str">
        <f>IF(AND(Creditos!$C$8&lt;&gt;"",Creditos!$M$8="OK",20&lt;=Creditos!$H$8),MAX(0,N145-L145),"")</f>
        <v/>
      </c>
      <c r="S145" s="46" t="str">
        <f>IF(AND(Creditos!$C$8&lt;&gt;"",Creditos!$M$8="OK",20&lt;=Creditos!$H$8),IF(R145&gt;0.005,"Exceso sin imputar",IF(P145&lt;=0.005,"Pagada",IF(E145&lt;Supuestos!$D$6,"Vencida",IF(E145=Supuestos!$D$6,"Vence hoy","Por vencer")))),"")</f>
        <v/>
      </c>
      <c r="T145" s="46">
        <f>IF(AND(Creditos!$C$8&lt;&gt;"",Creditos!$M$8="OK",20&lt;=Creditos!$H$8),IF(P145&gt;0.005,E145,999999),999999)</f>
        <v>999999</v>
      </c>
    </row>
    <row r="146" ht="25.5" customHeight="1">
      <c r="C146" s="46" t="str">
        <f>IF(AND(Creditos!$C$8&lt;&gt;"",Creditos!$M$8="OK",21&lt;=Creditos!$H$8),Creditos!$C$8,"")</f>
        <v/>
      </c>
      <c r="D146" s="46" t="str">
        <f>IF(AND(Creditos!$C$8&lt;&gt;"",Creditos!$M$8="OK",21&lt;=Creditos!$H$8),21,"")</f>
        <v/>
      </c>
      <c r="E146" s="47" t="str">
        <f>IF(AND(Creditos!$C$8&lt;&gt;"",Creditos!$M$8="OK",21&lt;=Creditos!$H$8),EDATE(Creditos!$I$8,20),"")</f>
        <v/>
      </c>
      <c r="F146" s="48" t="str">
        <f>IF(AND(Creditos!$C$8&lt;&gt;"",Creditos!$M$8="OK",21&lt;=Creditos!$H$8),M145,"")</f>
        <v/>
      </c>
      <c r="G146" s="49" t="str">
        <f>IF(AND(Creditos!$C$8&lt;&gt;"",Creditos!$M$8="OK",21&lt;=Creditos!$H$8),Creditos!$N$8,"")</f>
        <v/>
      </c>
      <c r="H146" s="48" t="str">
        <f>IF(AND(Creditos!$C$8&lt;&gt;"",Creditos!$M$8="OK",21&lt;=Creditos!$H$8),ROUND(F146*G146,2),"")</f>
        <v/>
      </c>
      <c r="I146" s="48" t="str">
        <f>IF(AND(Creditos!$C$8&lt;&gt;"",Creditos!$M$8="OK",21&lt;=Creditos!$H$8),IF(21=Creditos!$H$8,F146+H146,MIN(Creditos!$O$8,F146+H146)),"")</f>
        <v/>
      </c>
      <c r="J146" s="48" t="str">
        <f>IF(AND(Creditos!$C$8&lt;&gt;"",Creditos!$M$8="OK",21&lt;=Creditos!$H$8),MIN(F146,MAX(0,I146-H146)),"")</f>
        <v/>
      </c>
      <c r="K146" s="48" t="str">
        <f>IF(AND(Creditos!$C$8&lt;&gt;"",Creditos!$M$8="OK",21&lt;=Creditos!$H$8),Creditos!$J$8+Creditos!$K$8,"")</f>
        <v/>
      </c>
      <c r="L146" s="48" t="str">
        <f>IF(AND(Creditos!$C$8&lt;&gt;"",Creditos!$M$8="OK",21&lt;=Creditos!$H$8),I146+K146,"")</f>
        <v/>
      </c>
      <c r="M146" s="48" t="str">
        <f>IF(AND(Creditos!$C$8&lt;&gt;"",Creditos!$M$8="OK",21&lt;=Creditos!$H$8),MAX(0,F146-J146),"")</f>
        <v/>
      </c>
      <c r="N146" s="48" t="str">
        <f>IF(AND(Creditos!$C$8&lt;&gt;"",Creditos!$M$8="OK",21&lt;=Creditos!$H$8),SUMIFS(Pagos!$F$6:$F$305,Pagos!$C$6:$C$305,C146,Pagos!$D$6:$D$305,D146,Pagos!$E$6:$E$305,"&lt;="&amp;Supuestos!$D$6,Pagos!$H$6:$H$305,"OK"),"")</f>
        <v/>
      </c>
      <c r="O146" s="48" t="str">
        <f>IF(AND(Creditos!$C$8&lt;&gt;"",Creditos!$M$8="OK",21&lt;=Creditos!$H$8),MIN(J146,MAX(0,N146-K146-H146)),"")</f>
        <v/>
      </c>
      <c r="P146" s="48" t="str">
        <f>IF(AND(Creditos!$C$8&lt;&gt;"",Creditos!$M$8="OK",21&lt;=Creditos!$H$8),MAX(0,L146-N146),"")</f>
        <v/>
      </c>
      <c r="Q146" s="50" t="str">
        <f>IF(AND(Creditos!$C$8&lt;&gt;"",Creditos!$M$8="OK",21&lt;=Creditos!$H$8),IF(AND(E146&lt;Supuestos!$D$6,P146&gt;0.005),Supuestos!$D$6-E146,0),"")</f>
        <v/>
      </c>
      <c r="R146" s="48" t="str">
        <f>IF(AND(Creditos!$C$8&lt;&gt;"",Creditos!$M$8="OK",21&lt;=Creditos!$H$8),MAX(0,N146-L146),"")</f>
        <v/>
      </c>
      <c r="S146" s="46" t="str">
        <f>IF(AND(Creditos!$C$8&lt;&gt;"",Creditos!$M$8="OK",21&lt;=Creditos!$H$8),IF(R146&gt;0.005,"Exceso sin imputar",IF(P146&lt;=0.005,"Pagada",IF(E146&lt;Supuestos!$D$6,"Vencida",IF(E146=Supuestos!$D$6,"Vence hoy","Por vencer")))),"")</f>
        <v/>
      </c>
      <c r="T146" s="46">
        <f>IF(AND(Creditos!$C$8&lt;&gt;"",Creditos!$M$8="OK",21&lt;=Creditos!$H$8),IF(P146&gt;0.005,E146,999999),999999)</f>
        <v>999999</v>
      </c>
    </row>
    <row r="147" ht="25.5" customHeight="1">
      <c r="C147" s="46" t="str">
        <f>IF(AND(Creditos!$C$8&lt;&gt;"",Creditos!$M$8="OK",22&lt;=Creditos!$H$8),Creditos!$C$8,"")</f>
        <v/>
      </c>
      <c r="D147" s="46" t="str">
        <f>IF(AND(Creditos!$C$8&lt;&gt;"",Creditos!$M$8="OK",22&lt;=Creditos!$H$8),22,"")</f>
        <v/>
      </c>
      <c r="E147" s="47" t="str">
        <f>IF(AND(Creditos!$C$8&lt;&gt;"",Creditos!$M$8="OK",22&lt;=Creditos!$H$8),EDATE(Creditos!$I$8,21),"")</f>
        <v/>
      </c>
      <c r="F147" s="48" t="str">
        <f>IF(AND(Creditos!$C$8&lt;&gt;"",Creditos!$M$8="OK",22&lt;=Creditos!$H$8),M146,"")</f>
        <v/>
      </c>
      <c r="G147" s="49" t="str">
        <f>IF(AND(Creditos!$C$8&lt;&gt;"",Creditos!$M$8="OK",22&lt;=Creditos!$H$8),Creditos!$N$8,"")</f>
        <v/>
      </c>
      <c r="H147" s="48" t="str">
        <f>IF(AND(Creditos!$C$8&lt;&gt;"",Creditos!$M$8="OK",22&lt;=Creditos!$H$8),ROUND(F147*G147,2),"")</f>
        <v/>
      </c>
      <c r="I147" s="48" t="str">
        <f>IF(AND(Creditos!$C$8&lt;&gt;"",Creditos!$M$8="OK",22&lt;=Creditos!$H$8),IF(22=Creditos!$H$8,F147+H147,MIN(Creditos!$O$8,F147+H147)),"")</f>
        <v/>
      </c>
      <c r="J147" s="48" t="str">
        <f>IF(AND(Creditos!$C$8&lt;&gt;"",Creditos!$M$8="OK",22&lt;=Creditos!$H$8),MIN(F147,MAX(0,I147-H147)),"")</f>
        <v/>
      </c>
      <c r="K147" s="48" t="str">
        <f>IF(AND(Creditos!$C$8&lt;&gt;"",Creditos!$M$8="OK",22&lt;=Creditos!$H$8),Creditos!$J$8+Creditos!$K$8,"")</f>
        <v/>
      </c>
      <c r="L147" s="48" t="str">
        <f>IF(AND(Creditos!$C$8&lt;&gt;"",Creditos!$M$8="OK",22&lt;=Creditos!$H$8),I147+K147,"")</f>
        <v/>
      </c>
      <c r="M147" s="48" t="str">
        <f>IF(AND(Creditos!$C$8&lt;&gt;"",Creditos!$M$8="OK",22&lt;=Creditos!$H$8),MAX(0,F147-J147),"")</f>
        <v/>
      </c>
      <c r="N147" s="48" t="str">
        <f>IF(AND(Creditos!$C$8&lt;&gt;"",Creditos!$M$8="OK",22&lt;=Creditos!$H$8),SUMIFS(Pagos!$F$6:$F$305,Pagos!$C$6:$C$305,C147,Pagos!$D$6:$D$305,D147,Pagos!$E$6:$E$305,"&lt;="&amp;Supuestos!$D$6,Pagos!$H$6:$H$305,"OK"),"")</f>
        <v/>
      </c>
      <c r="O147" s="48" t="str">
        <f>IF(AND(Creditos!$C$8&lt;&gt;"",Creditos!$M$8="OK",22&lt;=Creditos!$H$8),MIN(J147,MAX(0,N147-K147-H147)),"")</f>
        <v/>
      </c>
      <c r="P147" s="48" t="str">
        <f>IF(AND(Creditos!$C$8&lt;&gt;"",Creditos!$M$8="OK",22&lt;=Creditos!$H$8),MAX(0,L147-N147),"")</f>
        <v/>
      </c>
      <c r="Q147" s="50" t="str">
        <f>IF(AND(Creditos!$C$8&lt;&gt;"",Creditos!$M$8="OK",22&lt;=Creditos!$H$8),IF(AND(E147&lt;Supuestos!$D$6,P147&gt;0.005),Supuestos!$D$6-E147,0),"")</f>
        <v/>
      </c>
      <c r="R147" s="48" t="str">
        <f>IF(AND(Creditos!$C$8&lt;&gt;"",Creditos!$M$8="OK",22&lt;=Creditos!$H$8),MAX(0,N147-L147),"")</f>
        <v/>
      </c>
      <c r="S147" s="46" t="str">
        <f>IF(AND(Creditos!$C$8&lt;&gt;"",Creditos!$M$8="OK",22&lt;=Creditos!$H$8),IF(R147&gt;0.005,"Exceso sin imputar",IF(P147&lt;=0.005,"Pagada",IF(E147&lt;Supuestos!$D$6,"Vencida",IF(E147=Supuestos!$D$6,"Vence hoy","Por vencer")))),"")</f>
        <v/>
      </c>
      <c r="T147" s="46">
        <f>IF(AND(Creditos!$C$8&lt;&gt;"",Creditos!$M$8="OK",22&lt;=Creditos!$H$8),IF(P147&gt;0.005,E147,999999),999999)</f>
        <v>999999</v>
      </c>
    </row>
    <row r="148" ht="25.5" customHeight="1">
      <c r="C148" s="46" t="str">
        <f>IF(AND(Creditos!$C$8&lt;&gt;"",Creditos!$M$8="OK",23&lt;=Creditos!$H$8),Creditos!$C$8,"")</f>
        <v/>
      </c>
      <c r="D148" s="46" t="str">
        <f>IF(AND(Creditos!$C$8&lt;&gt;"",Creditos!$M$8="OK",23&lt;=Creditos!$H$8),23,"")</f>
        <v/>
      </c>
      <c r="E148" s="47" t="str">
        <f>IF(AND(Creditos!$C$8&lt;&gt;"",Creditos!$M$8="OK",23&lt;=Creditos!$H$8),EDATE(Creditos!$I$8,22),"")</f>
        <v/>
      </c>
      <c r="F148" s="48" t="str">
        <f>IF(AND(Creditos!$C$8&lt;&gt;"",Creditos!$M$8="OK",23&lt;=Creditos!$H$8),M147,"")</f>
        <v/>
      </c>
      <c r="G148" s="49" t="str">
        <f>IF(AND(Creditos!$C$8&lt;&gt;"",Creditos!$M$8="OK",23&lt;=Creditos!$H$8),Creditos!$N$8,"")</f>
        <v/>
      </c>
      <c r="H148" s="48" t="str">
        <f>IF(AND(Creditos!$C$8&lt;&gt;"",Creditos!$M$8="OK",23&lt;=Creditos!$H$8),ROUND(F148*G148,2),"")</f>
        <v/>
      </c>
      <c r="I148" s="48" t="str">
        <f>IF(AND(Creditos!$C$8&lt;&gt;"",Creditos!$M$8="OK",23&lt;=Creditos!$H$8),IF(23=Creditos!$H$8,F148+H148,MIN(Creditos!$O$8,F148+H148)),"")</f>
        <v/>
      </c>
      <c r="J148" s="48" t="str">
        <f>IF(AND(Creditos!$C$8&lt;&gt;"",Creditos!$M$8="OK",23&lt;=Creditos!$H$8),MIN(F148,MAX(0,I148-H148)),"")</f>
        <v/>
      </c>
      <c r="K148" s="48" t="str">
        <f>IF(AND(Creditos!$C$8&lt;&gt;"",Creditos!$M$8="OK",23&lt;=Creditos!$H$8),Creditos!$J$8+Creditos!$K$8,"")</f>
        <v/>
      </c>
      <c r="L148" s="48" t="str">
        <f>IF(AND(Creditos!$C$8&lt;&gt;"",Creditos!$M$8="OK",23&lt;=Creditos!$H$8),I148+K148,"")</f>
        <v/>
      </c>
      <c r="M148" s="48" t="str">
        <f>IF(AND(Creditos!$C$8&lt;&gt;"",Creditos!$M$8="OK",23&lt;=Creditos!$H$8),MAX(0,F148-J148),"")</f>
        <v/>
      </c>
      <c r="N148" s="48" t="str">
        <f>IF(AND(Creditos!$C$8&lt;&gt;"",Creditos!$M$8="OK",23&lt;=Creditos!$H$8),SUMIFS(Pagos!$F$6:$F$305,Pagos!$C$6:$C$305,C148,Pagos!$D$6:$D$305,D148,Pagos!$E$6:$E$305,"&lt;="&amp;Supuestos!$D$6,Pagos!$H$6:$H$305,"OK"),"")</f>
        <v/>
      </c>
      <c r="O148" s="48" t="str">
        <f>IF(AND(Creditos!$C$8&lt;&gt;"",Creditos!$M$8="OK",23&lt;=Creditos!$H$8),MIN(J148,MAX(0,N148-K148-H148)),"")</f>
        <v/>
      </c>
      <c r="P148" s="48" t="str">
        <f>IF(AND(Creditos!$C$8&lt;&gt;"",Creditos!$M$8="OK",23&lt;=Creditos!$H$8),MAX(0,L148-N148),"")</f>
        <v/>
      </c>
      <c r="Q148" s="50" t="str">
        <f>IF(AND(Creditos!$C$8&lt;&gt;"",Creditos!$M$8="OK",23&lt;=Creditos!$H$8),IF(AND(E148&lt;Supuestos!$D$6,P148&gt;0.005),Supuestos!$D$6-E148,0),"")</f>
        <v/>
      </c>
      <c r="R148" s="48" t="str">
        <f>IF(AND(Creditos!$C$8&lt;&gt;"",Creditos!$M$8="OK",23&lt;=Creditos!$H$8),MAX(0,N148-L148),"")</f>
        <v/>
      </c>
      <c r="S148" s="46" t="str">
        <f>IF(AND(Creditos!$C$8&lt;&gt;"",Creditos!$M$8="OK",23&lt;=Creditos!$H$8),IF(R148&gt;0.005,"Exceso sin imputar",IF(P148&lt;=0.005,"Pagada",IF(E148&lt;Supuestos!$D$6,"Vencida",IF(E148=Supuestos!$D$6,"Vence hoy","Por vencer")))),"")</f>
        <v/>
      </c>
      <c r="T148" s="46">
        <f>IF(AND(Creditos!$C$8&lt;&gt;"",Creditos!$M$8="OK",23&lt;=Creditos!$H$8),IF(P148&gt;0.005,E148,999999),999999)</f>
        <v>999999</v>
      </c>
    </row>
    <row r="149" ht="25.5" customHeight="1">
      <c r="C149" s="46" t="str">
        <f>IF(AND(Creditos!$C$8&lt;&gt;"",Creditos!$M$8="OK",24&lt;=Creditos!$H$8),Creditos!$C$8,"")</f>
        <v/>
      </c>
      <c r="D149" s="46" t="str">
        <f>IF(AND(Creditos!$C$8&lt;&gt;"",Creditos!$M$8="OK",24&lt;=Creditos!$H$8),24,"")</f>
        <v/>
      </c>
      <c r="E149" s="47" t="str">
        <f>IF(AND(Creditos!$C$8&lt;&gt;"",Creditos!$M$8="OK",24&lt;=Creditos!$H$8),EDATE(Creditos!$I$8,23),"")</f>
        <v/>
      </c>
      <c r="F149" s="48" t="str">
        <f>IF(AND(Creditos!$C$8&lt;&gt;"",Creditos!$M$8="OK",24&lt;=Creditos!$H$8),M148,"")</f>
        <v/>
      </c>
      <c r="G149" s="49" t="str">
        <f>IF(AND(Creditos!$C$8&lt;&gt;"",Creditos!$M$8="OK",24&lt;=Creditos!$H$8),Creditos!$N$8,"")</f>
        <v/>
      </c>
      <c r="H149" s="48" t="str">
        <f>IF(AND(Creditos!$C$8&lt;&gt;"",Creditos!$M$8="OK",24&lt;=Creditos!$H$8),ROUND(F149*G149,2),"")</f>
        <v/>
      </c>
      <c r="I149" s="48" t="str">
        <f>IF(AND(Creditos!$C$8&lt;&gt;"",Creditos!$M$8="OK",24&lt;=Creditos!$H$8),IF(24=Creditos!$H$8,F149+H149,MIN(Creditos!$O$8,F149+H149)),"")</f>
        <v/>
      </c>
      <c r="J149" s="48" t="str">
        <f>IF(AND(Creditos!$C$8&lt;&gt;"",Creditos!$M$8="OK",24&lt;=Creditos!$H$8),MIN(F149,MAX(0,I149-H149)),"")</f>
        <v/>
      </c>
      <c r="K149" s="48" t="str">
        <f>IF(AND(Creditos!$C$8&lt;&gt;"",Creditos!$M$8="OK",24&lt;=Creditos!$H$8),Creditos!$J$8+Creditos!$K$8,"")</f>
        <v/>
      </c>
      <c r="L149" s="48" t="str">
        <f>IF(AND(Creditos!$C$8&lt;&gt;"",Creditos!$M$8="OK",24&lt;=Creditos!$H$8),I149+K149,"")</f>
        <v/>
      </c>
      <c r="M149" s="48" t="str">
        <f>IF(AND(Creditos!$C$8&lt;&gt;"",Creditos!$M$8="OK",24&lt;=Creditos!$H$8),MAX(0,F149-J149),"")</f>
        <v/>
      </c>
      <c r="N149" s="48" t="str">
        <f>IF(AND(Creditos!$C$8&lt;&gt;"",Creditos!$M$8="OK",24&lt;=Creditos!$H$8),SUMIFS(Pagos!$F$6:$F$305,Pagos!$C$6:$C$305,C149,Pagos!$D$6:$D$305,D149,Pagos!$E$6:$E$305,"&lt;="&amp;Supuestos!$D$6,Pagos!$H$6:$H$305,"OK"),"")</f>
        <v/>
      </c>
      <c r="O149" s="48" t="str">
        <f>IF(AND(Creditos!$C$8&lt;&gt;"",Creditos!$M$8="OK",24&lt;=Creditos!$H$8),MIN(J149,MAX(0,N149-K149-H149)),"")</f>
        <v/>
      </c>
      <c r="P149" s="48" t="str">
        <f>IF(AND(Creditos!$C$8&lt;&gt;"",Creditos!$M$8="OK",24&lt;=Creditos!$H$8),MAX(0,L149-N149),"")</f>
        <v/>
      </c>
      <c r="Q149" s="50" t="str">
        <f>IF(AND(Creditos!$C$8&lt;&gt;"",Creditos!$M$8="OK",24&lt;=Creditos!$H$8),IF(AND(E149&lt;Supuestos!$D$6,P149&gt;0.005),Supuestos!$D$6-E149,0),"")</f>
        <v/>
      </c>
      <c r="R149" s="48" t="str">
        <f>IF(AND(Creditos!$C$8&lt;&gt;"",Creditos!$M$8="OK",24&lt;=Creditos!$H$8),MAX(0,N149-L149),"")</f>
        <v/>
      </c>
      <c r="S149" s="46" t="str">
        <f>IF(AND(Creditos!$C$8&lt;&gt;"",Creditos!$M$8="OK",24&lt;=Creditos!$H$8),IF(R149&gt;0.005,"Exceso sin imputar",IF(P149&lt;=0.005,"Pagada",IF(E149&lt;Supuestos!$D$6,"Vencida",IF(E149=Supuestos!$D$6,"Vence hoy","Por vencer")))),"")</f>
        <v/>
      </c>
      <c r="T149" s="46">
        <f>IF(AND(Creditos!$C$8&lt;&gt;"",Creditos!$M$8="OK",24&lt;=Creditos!$H$8),IF(P149&gt;0.005,E149,999999),999999)</f>
        <v>999999</v>
      </c>
    </row>
    <row r="150" ht="25.5" customHeight="1">
      <c r="C150" s="46" t="str">
        <f>IF(AND(Creditos!$C$8&lt;&gt;"",Creditos!$M$8="OK",25&lt;=Creditos!$H$8),Creditos!$C$8,"")</f>
        <v/>
      </c>
      <c r="D150" s="46" t="str">
        <f>IF(AND(Creditos!$C$8&lt;&gt;"",Creditos!$M$8="OK",25&lt;=Creditos!$H$8),25,"")</f>
        <v/>
      </c>
      <c r="E150" s="47" t="str">
        <f>IF(AND(Creditos!$C$8&lt;&gt;"",Creditos!$M$8="OK",25&lt;=Creditos!$H$8),EDATE(Creditos!$I$8,24),"")</f>
        <v/>
      </c>
      <c r="F150" s="48" t="str">
        <f>IF(AND(Creditos!$C$8&lt;&gt;"",Creditos!$M$8="OK",25&lt;=Creditos!$H$8),M149,"")</f>
        <v/>
      </c>
      <c r="G150" s="49" t="str">
        <f>IF(AND(Creditos!$C$8&lt;&gt;"",Creditos!$M$8="OK",25&lt;=Creditos!$H$8),Creditos!$N$8,"")</f>
        <v/>
      </c>
      <c r="H150" s="48" t="str">
        <f>IF(AND(Creditos!$C$8&lt;&gt;"",Creditos!$M$8="OK",25&lt;=Creditos!$H$8),ROUND(F150*G150,2),"")</f>
        <v/>
      </c>
      <c r="I150" s="48" t="str">
        <f>IF(AND(Creditos!$C$8&lt;&gt;"",Creditos!$M$8="OK",25&lt;=Creditos!$H$8),IF(25=Creditos!$H$8,F150+H150,MIN(Creditos!$O$8,F150+H150)),"")</f>
        <v/>
      </c>
      <c r="J150" s="48" t="str">
        <f>IF(AND(Creditos!$C$8&lt;&gt;"",Creditos!$M$8="OK",25&lt;=Creditos!$H$8),MIN(F150,MAX(0,I150-H150)),"")</f>
        <v/>
      </c>
      <c r="K150" s="48" t="str">
        <f>IF(AND(Creditos!$C$8&lt;&gt;"",Creditos!$M$8="OK",25&lt;=Creditos!$H$8),Creditos!$J$8+Creditos!$K$8,"")</f>
        <v/>
      </c>
      <c r="L150" s="48" t="str">
        <f>IF(AND(Creditos!$C$8&lt;&gt;"",Creditos!$M$8="OK",25&lt;=Creditos!$H$8),I150+K150,"")</f>
        <v/>
      </c>
      <c r="M150" s="48" t="str">
        <f>IF(AND(Creditos!$C$8&lt;&gt;"",Creditos!$M$8="OK",25&lt;=Creditos!$H$8),MAX(0,F150-J150),"")</f>
        <v/>
      </c>
      <c r="N150" s="48" t="str">
        <f>IF(AND(Creditos!$C$8&lt;&gt;"",Creditos!$M$8="OK",25&lt;=Creditos!$H$8),SUMIFS(Pagos!$F$6:$F$305,Pagos!$C$6:$C$305,C150,Pagos!$D$6:$D$305,D150,Pagos!$E$6:$E$305,"&lt;="&amp;Supuestos!$D$6,Pagos!$H$6:$H$305,"OK"),"")</f>
        <v/>
      </c>
      <c r="O150" s="48" t="str">
        <f>IF(AND(Creditos!$C$8&lt;&gt;"",Creditos!$M$8="OK",25&lt;=Creditos!$H$8),MIN(J150,MAX(0,N150-K150-H150)),"")</f>
        <v/>
      </c>
      <c r="P150" s="48" t="str">
        <f>IF(AND(Creditos!$C$8&lt;&gt;"",Creditos!$M$8="OK",25&lt;=Creditos!$H$8),MAX(0,L150-N150),"")</f>
        <v/>
      </c>
      <c r="Q150" s="50" t="str">
        <f>IF(AND(Creditos!$C$8&lt;&gt;"",Creditos!$M$8="OK",25&lt;=Creditos!$H$8),IF(AND(E150&lt;Supuestos!$D$6,P150&gt;0.005),Supuestos!$D$6-E150,0),"")</f>
        <v/>
      </c>
      <c r="R150" s="48" t="str">
        <f>IF(AND(Creditos!$C$8&lt;&gt;"",Creditos!$M$8="OK",25&lt;=Creditos!$H$8),MAX(0,N150-L150),"")</f>
        <v/>
      </c>
      <c r="S150" s="46" t="str">
        <f>IF(AND(Creditos!$C$8&lt;&gt;"",Creditos!$M$8="OK",25&lt;=Creditos!$H$8),IF(R150&gt;0.005,"Exceso sin imputar",IF(P150&lt;=0.005,"Pagada",IF(E150&lt;Supuestos!$D$6,"Vencida",IF(E150=Supuestos!$D$6,"Vence hoy","Por vencer")))),"")</f>
        <v/>
      </c>
      <c r="T150" s="46">
        <f>IF(AND(Creditos!$C$8&lt;&gt;"",Creditos!$M$8="OK",25&lt;=Creditos!$H$8),IF(P150&gt;0.005,E150,999999),999999)</f>
        <v>999999</v>
      </c>
    </row>
    <row r="151" ht="25.5" customHeight="1">
      <c r="C151" s="46" t="str">
        <f>IF(AND(Creditos!$C$8&lt;&gt;"",Creditos!$M$8="OK",26&lt;=Creditos!$H$8),Creditos!$C$8,"")</f>
        <v/>
      </c>
      <c r="D151" s="46" t="str">
        <f>IF(AND(Creditos!$C$8&lt;&gt;"",Creditos!$M$8="OK",26&lt;=Creditos!$H$8),26,"")</f>
        <v/>
      </c>
      <c r="E151" s="47" t="str">
        <f>IF(AND(Creditos!$C$8&lt;&gt;"",Creditos!$M$8="OK",26&lt;=Creditos!$H$8),EDATE(Creditos!$I$8,25),"")</f>
        <v/>
      </c>
      <c r="F151" s="48" t="str">
        <f>IF(AND(Creditos!$C$8&lt;&gt;"",Creditos!$M$8="OK",26&lt;=Creditos!$H$8),M150,"")</f>
        <v/>
      </c>
      <c r="G151" s="49" t="str">
        <f>IF(AND(Creditos!$C$8&lt;&gt;"",Creditos!$M$8="OK",26&lt;=Creditos!$H$8),Creditos!$N$8,"")</f>
        <v/>
      </c>
      <c r="H151" s="48" t="str">
        <f>IF(AND(Creditos!$C$8&lt;&gt;"",Creditos!$M$8="OK",26&lt;=Creditos!$H$8),ROUND(F151*G151,2),"")</f>
        <v/>
      </c>
      <c r="I151" s="48" t="str">
        <f>IF(AND(Creditos!$C$8&lt;&gt;"",Creditos!$M$8="OK",26&lt;=Creditos!$H$8),IF(26=Creditos!$H$8,F151+H151,MIN(Creditos!$O$8,F151+H151)),"")</f>
        <v/>
      </c>
      <c r="J151" s="48" t="str">
        <f>IF(AND(Creditos!$C$8&lt;&gt;"",Creditos!$M$8="OK",26&lt;=Creditos!$H$8),MIN(F151,MAX(0,I151-H151)),"")</f>
        <v/>
      </c>
      <c r="K151" s="48" t="str">
        <f>IF(AND(Creditos!$C$8&lt;&gt;"",Creditos!$M$8="OK",26&lt;=Creditos!$H$8),Creditos!$J$8+Creditos!$K$8,"")</f>
        <v/>
      </c>
      <c r="L151" s="48" t="str">
        <f>IF(AND(Creditos!$C$8&lt;&gt;"",Creditos!$M$8="OK",26&lt;=Creditos!$H$8),I151+K151,"")</f>
        <v/>
      </c>
      <c r="M151" s="48" t="str">
        <f>IF(AND(Creditos!$C$8&lt;&gt;"",Creditos!$M$8="OK",26&lt;=Creditos!$H$8),MAX(0,F151-J151),"")</f>
        <v/>
      </c>
      <c r="N151" s="48" t="str">
        <f>IF(AND(Creditos!$C$8&lt;&gt;"",Creditos!$M$8="OK",26&lt;=Creditos!$H$8),SUMIFS(Pagos!$F$6:$F$305,Pagos!$C$6:$C$305,C151,Pagos!$D$6:$D$305,D151,Pagos!$E$6:$E$305,"&lt;="&amp;Supuestos!$D$6,Pagos!$H$6:$H$305,"OK"),"")</f>
        <v/>
      </c>
      <c r="O151" s="48" t="str">
        <f>IF(AND(Creditos!$C$8&lt;&gt;"",Creditos!$M$8="OK",26&lt;=Creditos!$H$8),MIN(J151,MAX(0,N151-K151-H151)),"")</f>
        <v/>
      </c>
      <c r="P151" s="48" t="str">
        <f>IF(AND(Creditos!$C$8&lt;&gt;"",Creditos!$M$8="OK",26&lt;=Creditos!$H$8),MAX(0,L151-N151),"")</f>
        <v/>
      </c>
      <c r="Q151" s="50" t="str">
        <f>IF(AND(Creditos!$C$8&lt;&gt;"",Creditos!$M$8="OK",26&lt;=Creditos!$H$8),IF(AND(E151&lt;Supuestos!$D$6,P151&gt;0.005),Supuestos!$D$6-E151,0),"")</f>
        <v/>
      </c>
      <c r="R151" s="48" t="str">
        <f>IF(AND(Creditos!$C$8&lt;&gt;"",Creditos!$M$8="OK",26&lt;=Creditos!$H$8),MAX(0,N151-L151),"")</f>
        <v/>
      </c>
      <c r="S151" s="46" t="str">
        <f>IF(AND(Creditos!$C$8&lt;&gt;"",Creditos!$M$8="OK",26&lt;=Creditos!$H$8),IF(R151&gt;0.005,"Exceso sin imputar",IF(P151&lt;=0.005,"Pagada",IF(E151&lt;Supuestos!$D$6,"Vencida",IF(E151=Supuestos!$D$6,"Vence hoy","Por vencer")))),"")</f>
        <v/>
      </c>
      <c r="T151" s="46">
        <f>IF(AND(Creditos!$C$8&lt;&gt;"",Creditos!$M$8="OK",26&lt;=Creditos!$H$8),IF(P151&gt;0.005,E151,999999),999999)</f>
        <v>999999</v>
      </c>
    </row>
    <row r="152" ht="25.5" customHeight="1">
      <c r="C152" s="46" t="str">
        <f>IF(AND(Creditos!$C$8&lt;&gt;"",Creditos!$M$8="OK",27&lt;=Creditos!$H$8),Creditos!$C$8,"")</f>
        <v/>
      </c>
      <c r="D152" s="46" t="str">
        <f>IF(AND(Creditos!$C$8&lt;&gt;"",Creditos!$M$8="OK",27&lt;=Creditos!$H$8),27,"")</f>
        <v/>
      </c>
      <c r="E152" s="47" t="str">
        <f>IF(AND(Creditos!$C$8&lt;&gt;"",Creditos!$M$8="OK",27&lt;=Creditos!$H$8),EDATE(Creditos!$I$8,26),"")</f>
        <v/>
      </c>
      <c r="F152" s="48" t="str">
        <f>IF(AND(Creditos!$C$8&lt;&gt;"",Creditos!$M$8="OK",27&lt;=Creditos!$H$8),M151,"")</f>
        <v/>
      </c>
      <c r="G152" s="49" t="str">
        <f>IF(AND(Creditos!$C$8&lt;&gt;"",Creditos!$M$8="OK",27&lt;=Creditos!$H$8),Creditos!$N$8,"")</f>
        <v/>
      </c>
      <c r="H152" s="48" t="str">
        <f>IF(AND(Creditos!$C$8&lt;&gt;"",Creditos!$M$8="OK",27&lt;=Creditos!$H$8),ROUND(F152*G152,2),"")</f>
        <v/>
      </c>
      <c r="I152" s="48" t="str">
        <f>IF(AND(Creditos!$C$8&lt;&gt;"",Creditos!$M$8="OK",27&lt;=Creditos!$H$8),IF(27=Creditos!$H$8,F152+H152,MIN(Creditos!$O$8,F152+H152)),"")</f>
        <v/>
      </c>
      <c r="J152" s="48" t="str">
        <f>IF(AND(Creditos!$C$8&lt;&gt;"",Creditos!$M$8="OK",27&lt;=Creditos!$H$8),MIN(F152,MAX(0,I152-H152)),"")</f>
        <v/>
      </c>
      <c r="K152" s="48" t="str">
        <f>IF(AND(Creditos!$C$8&lt;&gt;"",Creditos!$M$8="OK",27&lt;=Creditos!$H$8),Creditos!$J$8+Creditos!$K$8,"")</f>
        <v/>
      </c>
      <c r="L152" s="48" t="str">
        <f>IF(AND(Creditos!$C$8&lt;&gt;"",Creditos!$M$8="OK",27&lt;=Creditos!$H$8),I152+K152,"")</f>
        <v/>
      </c>
      <c r="M152" s="48" t="str">
        <f>IF(AND(Creditos!$C$8&lt;&gt;"",Creditos!$M$8="OK",27&lt;=Creditos!$H$8),MAX(0,F152-J152),"")</f>
        <v/>
      </c>
      <c r="N152" s="48" t="str">
        <f>IF(AND(Creditos!$C$8&lt;&gt;"",Creditos!$M$8="OK",27&lt;=Creditos!$H$8),SUMIFS(Pagos!$F$6:$F$305,Pagos!$C$6:$C$305,C152,Pagos!$D$6:$D$305,D152,Pagos!$E$6:$E$305,"&lt;="&amp;Supuestos!$D$6,Pagos!$H$6:$H$305,"OK"),"")</f>
        <v/>
      </c>
      <c r="O152" s="48" t="str">
        <f>IF(AND(Creditos!$C$8&lt;&gt;"",Creditos!$M$8="OK",27&lt;=Creditos!$H$8),MIN(J152,MAX(0,N152-K152-H152)),"")</f>
        <v/>
      </c>
      <c r="P152" s="48" t="str">
        <f>IF(AND(Creditos!$C$8&lt;&gt;"",Creditos!$M$8="OK",27&lt;=Creditos!$H$8),MAX(0,L152-N152),"")</f>
        <v/>
      </c>
      <c r="Q152" s="50" t="str">
        <f>IF(AND(Creditos!$C$8&lt;&gt;"",Creditos!$M$8="OK",27&lt;=Creditos!$H$8),IF(AND(E152&lt;Supuestos!$D$6,P152&gt;0.005),Supuestos!$D$6-E152,0),"")</f>
        <v/>
      </c>
      <c r="R152" s="48" t="str">
        <f>IF(AND(Creditos!$C$8&lt;&gt;"",Creditos!$M$8="OK",27&lt;=Creditos!$H$8),MAX(0,N152-L152),"")</f>
        <v/>
      </c>
      <c r="S152" s="46" t="str">
        <f>IF(AND(Creditos!$C$8&lt;&gt;"",Creditos!$M$8="OK",27&lt;=Creditos!$H$8),IF(R152&gt;0.005,"Exceso sin imputar",IF(P152&lt;=0.005,"Pagada",IF(E152&lt;Supuestos!$D$6,"Vencida",IF(E152=Supuestos!$D$6,"Vence hoy","Por vencer")))),"")</f>
        <v/>
      </c>
      <c r="T152" s="46">
        <f>IF(AND(Creditos!$C$8&lt;&gt;"",Creditos!$M$8="OK",27&lt;=Creditos!$H$8),IF(P152&gt;0.005,E152,999999),999999)</f>
        <v>999999</v>
      </c>
    </row>
    <row r="153" ht="25.5" customHeight="1">
      <c r="C153" s="46" t="str">
        <f>IF(AND(Creditos!$C$8&lt;&gt;"",Creditos!$M$8="OK",28&lt;=Creditos!$H$8),Creditos!$C$8,"")</f>
        <v/>
      </c>
      <c r="D153" s="46" t="str">
        <f>IF(AND(Creditos!$C$8&lt;&gt;"",Creditos!$M$8="OK",28&lt;=Creditos!$H$8),28,"")</f>
        <v/>
      </c>
      <c r="E153" s="47" t="str">
        <f>IF(AND(Creditos!$C$8&lt;&gt;"",Creditos!$M$8="OK",28&lt;=Creditos!$H$8),EDATE(Creditos!$I$8,27),"")</f>
        <v/>
      </c>
      <c r="F153" s="48" t="str">
        <f>IF(AND(Creditos!$C$8&lt;&gt;"",Creditos!$M$8="OK",28&lt;=Creditos!$H$8),M152,"")</f>
        <v/>
      </c>
      <c r="G153" s="49" t="str">
        <f>IF(AND(Creditos!$C$8&lt;&gt;"",Creditos!$M$8="OK",28&lt;=Creditos!$H$8),Creditos!$N$8,"")</f>
        <v/>
      </c>
      <c r="H153" s="48" t="str">
        <f>IF(AND(Creditos!$C$8&lt;&gt;"",Creditos!$M$8="OK",28&lt;=Creditos!$H$8),ROUND(F153*G153,2),"")</f>
        <v/>
      </c>
      <c r="I153" s="48" t="str">
        <f>IF(AND(Creditos!$C$8&lt;&gt;"",Creditos!$M$8="OK",28&lt;=Creditos!$H$8),IF(28=Creditos!$H$8,F153+H153,MIN(Creditos!$O$8,F153+H153)),"")</f>
        <v/>
      </c>
      <c r="J153" s="48" t="str">
        <f>IF(AND(Creditos!$C$8&lt;&gt;"",Creditos!$M$8="OK",28&lt;=Creditos!$H$8),MIN(F153,MAX(0,I153-H153)),"")</f>
        <v/>
      </c>
      <c r="K153" s="48" t="str">
        <f>IF(AND(Creditos!$C$8&lt;&gt;"",Creditos!$M$8="OK",28&lt;=Creditos!$H$8),Creditos!$J$8+Creditos!$K$8,"")</f>
        <v/>
      </c>
      <c r="L153" s="48" t="str">
        <f>IF(AND(Creditos!$C$8&lt;&gt;"",Creditos!$M$8="OK",28&lt;=Creditos!$H$8),I153+K153,"")</f>
        <v/>
      </c>
      <c r="M153" s="48" t="str">
        <f>IF(AND(Creditos!$C$8&lt;&gt;"",Creditos!$M$8="OK",28&lt;=Creditos!$H$8),MAX(0,F153-J153),"")</f>
        <v/>
      </c>
      <c r="N153" s="48" t="str">
        <f>IF(AND(Creditos!$C$8&lt;&gt;"",Creditos!$M$8="OK",28&lt;=Creditos!$H$8),SUMIFS(Pagos!$F$6:$F$305,Pagos!$C$6:$C$305,C153,Pagos!$D$6:$D$305,D153,Pagos!$E$6:$E$305,"&lt;="&amp;Supuestos!$D$6,Pagos!$H$6:$H$305,"OK"),"")</f>
        <v/>
      </c>
      <c r="O153" s="48" t="str">
        <f>IF(AND(Creditos!$C$8&lt;&gt;"",Creditos!$M$8="OK",28&lt;=Creditos!$H$8),MIN(J153,MAX(0,N153-K153-H153)),"")</f>
        <v/>
      </c>
      <c r="P153" s="48" t="str">
        <f>IF(AND(Creditos!$C$8&lt;&gt;"",Creditos!$M$8="OK",28&lt;=Creditos!$H$8),MAX(0,L153-N153),"")</f>
        <v/>
      </c>
      <c r="Q153" s="50" t="str">
        <f>IF(AND(Creditos!$C$8&lt;&gt;"",Creditos!$M$8="OK",28&lt;=Creditos!$H$8),IF(AND(E153&lt;Supuestos!$D$6,P153&gt;0.005),Supuestos!$D$6-E153,0),"")</f>
        <v/>
      </c>
      <c r="R153" s="48" t="str">
        <f>IF(AND(Creditos!$C$8&lt;&gt;"",Creditos!$M$8="OK",28&lt;=Creditos!$H$8),MAX(0,N153-L153),"")</f>
        <v/>
      </c>
      <c r="S153" s="46" t="str">
        <f>IF(AND(Creditos!$C$8&lt;&gt;"",Creditos!$M$8="OK",28&lt;=Creditos!$H$8),IF(R153&gt;0.005,"Exceso sin imputar",IF(P153&lt;=0.005,"Pagada",IF(E153&lt;Supuestos!$D$6,"Vencida",IF(E153=Supuestos!$D$6,"Vence hoy","Por vencer")))),"")</f>
        <v/>
      </c>
      <c r="T153" s="46">
        <f>IF(AND(Creditos!$C$8&lt;&gt;"",Creditos!$M$8="OK",28&lt;=Creditos!$H$8),IF(P153&gt;0.005,E153,999999),999999)</f>
        <v>999999</v>
      </c>
    </row>
    <row r="154" ht="25.5" customHeight="1">
      <c r="C154" s="46" t="str">
        <f>IF(AND(Creditos!$C$8&lt;&gt;"",Creditos!$M$8="OK",29&lt;=Creditos!$H$8),Creditos!$C$8,"")</f>
        <v/>
      </c>
      <c r="D154" s="46" t="str">
        <f>IF(AND(Creditos!$C$8&lt;&gt;"",Creditos!$M$8="OK",29&lt;=Creditos!$H$8),29,"")</f>
        <v/>
      </c>
      <c r="E154" s="47" t="str">
        <f>IF(AND(Creditos!$C$8&lt;&gt;"",Creditos!$M$8="OK",29&lt;=Creditos!$H$8),EDATE(Creditos!$I$8,28),"")</f>
        <v/>
      </c>
      <c r="F154" s="48" t="str">
        <f>IF(AND(Creditos!$C$8&lt;&gt;"",Creditos!$M$8="OK",29&lt;=Creditos!$H$8),M153,"")</f>
        <v/>
      </c>
      <c r="G154" s="49" t="str">
        <f>IF(AND(Creditos!$C$8&lt;&gt;"",Creditos!$M$8="OK",29&lt;=Creditos!$H$8),Creditos!$N$8,"")</f>
        <v/>
      </c>
      <c r="H154" s="48" t="str">
        <f>IF(AND(Creditos!$C$8&lt;&gt;"",Creditos!$M$8="OK",29&lt;=Creditos!$H$8),ROUND(F154*G154,2),"")</f>
        <v/>
      </c>
      <c r="I154" s="48" t="str">
        <f>IF(AND(Creditos!$C$8&lt;&gt;"",Creditos!$M$8="OK",29&lt;=Creditos!$H$8),IF(29=Creditos!$H$8,F154+H154,MIN(Creditos!$O$8,F154+H154)),"")</f>
        <v/>
      </c>
      <c r="J154" s="48" t="str">
        <f>IF(AND(Creditos!$C$8&lt;&gt;"",Creditos!$M$8="OK",29&lt;=Creditos!$H$8),MIN(F154,MAX(0,I154-H154)),"")</f>
        <v/>
      </c>
      <c r="K154" s="48" t="str">
        <f>IF(AND(Creditos!$C$8&lt;&gt;"",Creditos!$M$8="OK",29&lt;=Creditos!$H$8),Creditos!$J$8+Creditos!$K$8,"")</f>
        <v/>
      </c>
      <c r="L154" s="48" t="str">
        <f>IF(AND(Creditos!$C$8&lt;&gt;"",Creditos!$M$8="OK",29&lt;=Creditos!$H$8),I154+K154,"")</f>
        <v/>
      </c>
      <c r="M154" s="48" t="str">
        <f>IF(AND(Creditos!$C$8&lt;&gt;"",Creditos!$M$8="OK",29&lt;=Creditos!$H$8),MAX(0,F154-J154),"")</f>
        <v/>
      </c>
      <c r="N154" s="48" t="str">
        <f>IF(AND(Creditos!$C$8&lt;&gt;"",Creditos!$M$8="OK",29&lt;=Creditos!$H$8),SUMIFS(Pagos!$F$6:$F$305,Pagos!$C$6:$C$305,C154,Pagos!$D$6:$D$305,D154,Pagos!$E$6:$E$305,"&lt;="&amp;Supuestos!$D$6,Pagos!$H$6:$H$305,"OK"),"")</f>
        <v/>
      </c>
      <c r="O154" s="48" t="str">
        <f>IF(AND(Creditos!$C$8&lt;&gt;"",Creditos!$M$8="OK",29&lt;=Creditos!$H$8),MIN(J154,MAX(0,N154-K154-H154)),"")</f>
        <v/>
      </c>
      <c r="P154" s="48" t="str">
        <f>IF(AND(Creditos!$C$8&lt;&gt;"",Creditos!$M$8="OK",29&lt;=Creditos!$H$8),MAX(0,L154-N154),"")</f>
        <v/>
      </c>
      <c r="Q154" s="50" t="str">
        <f>IF(AND(Creditos!$C$8&lt;&gt;"",Creditos!$M$8="OK",29&lt;=Creditos!$H$8),IF(AND(E154&lt;Supuestos!$D$6,P154&gt;0.005),Supuestos!$D$6-E154,0),"")</f>
        <v/>
      </c>
      <c r="R154" s="48" t="str">
        <f>IF(AND(Creditos!$C$8&lt;&gt;"",Creditos!$M$8="OK",29&lt;=Creditos!$H$8),MAX(0,N154-L154),"")</f>
        <v/>
      </c>
      <c r="S154" s="46" t="str">
        <f>IF(AND(Creditos!$C$8&lt;&gt;"",Creditos!$M$8="OK",29&lt;=Creditos!$H$8),IF(R154&gt;0.005,"Exceso sin imputar",IF(P154&lt;=0.005,"Pagada",IF(E154&lt;Supuestos!$D$6,"Vencida",IF(E154=Supuestos!$D$6,"Vence hoy","Por vencer")))),"")</f>
        <v/>
      </c>
      <c r="T154" s="46">
        <f>IF(AND(Creditos!$C$8&lt;&gt;"",Creditos!$M$8="OK",29&lt;=Creditos!$H$8),IF(P154&gt;0.005,E154,999999),999999)</f>
        <v>999999</v>
      </c>
    </row>
    <row r="155" ht="25.5" customHeight="1">
      <c r="C155" s="46" t="str">
        <f>IF(AND(Creditos!$C$8&lt;&gt;"",Creditos!$M$8="OK",30&lt;=Creditos!$H$8),Creditos!$C$8,"")</f>
        <v/>
      </c>
      <c r="D155" s="46" t="str">
        <f>IF(AND(Creditos!$C$8&lt;&gt;"",Creditos!$M$8="OK",30&lt;=Creditos!$H$8),30,"")</f>
        <v/>
      </c>
      <c r="E155" s="47" t="str">
        <f>IF(AND(Creditos!$C$8&lt;&gt;"",Creditos!$M$8="OK",30&lt;=Creditos!$H$8),EDATE(Creditos!$I$8,29),"")</f>
        <v/>
      </c>
      <c r="F155" s="48" t="str">
        <f>IF(AND(Creditos!$C$8&lt;&gt;"",Creditos!$M$8="OK",30&lt;=Creditos!$H$8),M154,"")</f>
        <v/>
      </c>
      <c r="G155" s="49" t="str">
        <f>IF(AND(Creditos!$C$8&lt;&gt;"",Creditos!$M$8="OK",30&lt;=Creditos!$H$8),Creditos!$N$8,"")</f>
        <v/>
      </c>
      <c r="H155" s="48" t="str">
        <f>IF(AND(Creditos!$C$8&lt;&gt;"",Creditos!$M$8="OK",30&lt;=Creditos!$H$8),ROUND(F155*G155,2),"")</f>
        <v/>
      </c>
      <c r="I155" s="48" t="str">
        <f>IF(AND(Creditos!$C$8&lt;&gt;"",Creditos!$M$8="OK",30&lt;=Creditos!$H$8),IF(30=Creditos!$H$8,F155+H155,MIN(Creditos!$O$8,F155+H155)),"")</f>
        <v/>
      </c>
      <c r="J155" s="48" t="str">
        <f>IF(AND(Creditos!$C$8&lt;&gt;"",Creditos!$M$8="OK",30&lt;=Creditos!$H$8),MIN(F155,MAX(0,I155-H155)),"")</f>
        <v/>
      </c>
      <c r="K155" s="48" t="str">
        <f>IF(AND(Creditos!$C$8&lt;&gt;"",Creditos!$M$8="OK",30&lt;=Creditos!$H$8),Creditos!$J$8+Creditos!$K$8,"")</f>
        <v/>
      </c>
      <c r="L155" s="48" t="str">
        <f>IF(AND(Creditos!$C$8&lt;&gt;"",Creditos!$M$8="OK",30&lt;=Creditos!$H$8),I155+K155,"")</f>
        <v/>
      </c>
      <c r="M155" s="48" t="str">
        <f>IF(AND(Creditos!$C$8&lt;&gt;"",Creditos!$M$8="OK",30&lt;=Creditos!$H$8),MAX(0,F155-J155),"")</f>
        <v/>
      </c>
      <c r="N155" s="48" t="str">
        <f>IF(AND(Creditos!$C$8&lt;&gt;"",Creditos!$M$8="OK",30&lt;=Creditos!$H$8),SUMIFS(Pagos!$F$6:$F$305,Pagos!$C$6:$C$305,C155,Pagos!$D$6:$D$305,D155,Pagos!$E$6:$E$305,"&lt;="&amp;Supuestos!$D$6,Pagos!$H$6:$H$305,"OK"),"")</f>
        <v/>
      </c>
      <c r="O155" s="48" t="str">
        <f>IF(AND(Creditos!$C$8&lt;&gt;"",Creditos!$M$8="OK",30&lt;=Creditos!$H$8),MIN(J155,MAX(0,N155-K155-H155)),"")</f>
        <v/>
      </c>
      <c r="P155" s="48" t="str">
        <f>IF(AND(Creditos!$C$8&lt;&gt;"",Creditos!$M$8="OK",30&lt;=Creditos!$H$8),MAX(0,L155-N155),"")</f>
        <v/>
      </c>
      <c r="Q155" s="50" t="str">
        <f>IF(AND(Creditos!$C$8&lt;&gt;"",Creditos!$M$8="OK",30&lt;=Creditos!$H$8),IF(AND(E155&lt;Supuestos!$D$6,P155&gt;0.005),Supuestos!$D$6-E155,0),"")</f>
        <v/>
      </c>
      <c r="R155" s="48" t="str">
        <f>IF(AND(Creditos!$C$8&lt;&gt;"",Creditos!$M$8="OK",30&lt;=Creditos!$H$8),MAX(0,N155-L155),"")</f>
        <v/>
      </c>
      <c r="S155" s="46" t="str">
        <f>IF(AND(Creditos!$C$8&lt;&gt;"",Creditos!$M$8="OK",30&lt;=Creditos!$H$8),IF(R155&gt;0.005,"Exceso sin imputar",IF(P155&lt;=0.005,"Pagada",IF(E155&lt;Supuestos!$D$6,"Vencida",IF(E155=Supuestos!$D$6,"Vence hoy","Por vencer")))),"")</f>
        <v/>
      </c>
      <c r="T155" s="46">
        <f>IF(AND(Creditos!$C$8&lt;&gt;"",Creditos!$M$8="OK",30&lt;=Creditos!$H$8),IF(P155&gt;0.005,E155,999999),999999)</f>
        <v>999999</v>
      </c>
    </row>
    <row r="156" ht="25.5" customHeight="1">
      <c r="C156" s="46" t="str">
        <f>IF(AND(Creditos!$C$8&lt;&gt;"",Creditos!$M$8="OK",31&lt;=Creditos!$H$8),Creditos!$C$8,"")</f>
        <v/>
      </c>
      <c r="D156" s="46" t="str">
        <f>IF(AND(Creditos!$C$8&lt;&gt;"",Creditos!$M$8="OK",31&lt;=Creditos!$H$8),31,"")</f>
        <v/>
      </c>
      <c r="E156" s="47" t="str">
        <f>IF(AND(Creditos!$C$8&lt;&gt;"",Creditos!$M$8="OK",31&lt;=Creditos!$H$8),EDATE(Creditos!$I$8,30),"")</f>
        <v/>
      </c>
      <c r="F156" s="48" t="str">
        <f>IF(AND(Creditos!$C$8&lt;&gt;"",Creditos!$M$8="OK",31&lt;=Creditos!$H$8),M155,"")</f>
        <v/>
      </c>
      <c r="G156" s="49" t="str">
        <f>IF(AND(Creditos!$C$8&lt;&gt;"",Creditos!$M$8="OK",31&lt;=Creditos!$H$8),Creditos!$N$8,"")</f>
        <v/>
      </c>
      <c r="H156" s="48" t="str">
        <f>IF(AND(Creditos!$C$8&lt;&gt;"",Creditos!$M$8="OK",31&lt;=Creditos!$H$8),ROUND(F156*G156,2),"")</f>
        <v/>
      </c>
      <c r="I156" s="48" t="str">
        <f>IF(AND(Creditos!$C$8&lt;&gt;"",Creditos!$M$8="OK",31&lt;=Creditos!$H$8),IF(31=Creditos!$H$8,F156+H156,MIN(Creditos!$O$8,F156+H156)),"")</f>
        <v/>
      </c>
      <c r="J156" s="48" t="str">
        <f>IF(AND(Creditos!$C$8&lt;&gt;"",Creditos!$M$8="OK",31&lt;=Creditos!$H$8),MIN(F156,MAX(0,I156-H156)),"")</f>
        <v/>
      </c>
      <c r="K156" s="48" t="str">
        <f>IF(AND(Creditos!$C$8&lt;&gt;"",Creditos!$M$8="OK",31&lt;=Creditos!$H$8),Creditos!$J$8+Creditos!$K$8,"")</f>
        <v/>
      </c>
      <c r="L156" s="48" t="str">
        <f>IF(AND(Creditos!$C$8&lt;&gt;"",Creditos!$M$8="OK",31&lt;=Creditos!$H$8),I156+K156,"")</f>
        <v/>
      </c>
      <c r="M156" s="48" t="str">
        <f>IF(AND(Creditos!$C$8&lt;&gt;"",Creditos!$M$8="OK",31&lt;=Creditos!$H$8),MAX(0,F156-J156),"")</f>
        <v/>
      </c>
      <c r="N156" s="48" t="str">
        <f>IF(AND(Creditos!$C$8&lt;&gt;"",Creditos!$M$8="OK",31&lt;=Creditos!$H$8),SUMIFS(Pagos!$F$6:$F$305,Pagos!$C$6:$C$305,C156,Pagos!$D$6:$D$305,D156,Pagos!$E$6:$E$305,"&lt;="&amp;Supuestos!$D$6,Pagos!$H$6:$H$305,"OK"),"")</f>
        <v/>
      </c>
      <c r="O156" s="48" t="str">
        <f>IF(AND(Creditos!$C$8&lt;&gt;"",Creditos!$M$8="OK",31&lt;=Creditos!$H$8),MIN(J156,MAX(0,N156-K156-H156)),"")</f>
        <v/>
      </c>
      <c r="P156" s="48" t="str">
        <f>IF(AND(Creditos!$C$8&lt;&gt;"",Creditos!$M$8="OK",31&lt;=Creditos!$H$8),MAX(0,L156-N156),"")</f>
        <v/>
      </c>
      <c r="Q156" s="50" t="str">
        <f>IF(AND(Creditos!$C$8&lt;&gt;"",Creditos!$M$8="OK",31&lt;=Creditos!$H$8),IF(AND(E156&lt;Supuestos!$D$6,P156&gt;0.005),Supuestos!$D$6-E156,0),"")</f>
        <v/>
      </c>
      <c r="R156" s="48" t="str">
        <f>IF(AND(Creditos!$C$8&lt;&gt;"",Creditos!$M$8="OK",31&lt;=Creditos!$H$8),MAX(0,N156-L156),"")</f>
        <v/>
      </c>
      <c r="S156" s="46" t="str">
        <f>IF(AND(Creditos!$C$8&lt;&gt;"",Creditos!$M$8="OK",31&lt;=Creditos!$H$8),IF(R156&gt;0.005,"Exceso sin imputar",IF(P156&lt;=0.005,"Pagada",IF(E156&lt;Supuestos!$D$6,"Vencida",IF(E156=Supuestos!$D$6,"Vence hoy","Por vencer")))),"")</f>
        <v/>
      </c>
      <c r="T156" s="46">
        <f>IF(AND(Creditos!$C$8&lt;&gt;"",Creditos!$M$8="OK",31&lt;=Creditos!$H$8),IF(P156&gt;0.005,E156,999999),999999)</f>
        <v>999999</v>
      </c>
    </row>
    <row r="157" ht="25.5" customHeight="1">
      <c r="C157" s="46" t="str">
        <f>IF(AND(Creditos!$C$8&lt;&gt;"",Creditos!$M$8="OK",32&lt;=Creditos!$H$8),Creditos!$C$8,"")</f>
        <v/>
      </c>
      <c r="D157" s="46" t="str">
        <f>IF(AND(Creditos!$C$8&lt;&gt;"",Creditos!$M$8="OK",32&lt;=Creditos!$H$8),32,"")</f>
        <v/>
      </c>
      <c r="E157" s="47" t="str">
        <f>IF(AND(Creditos!$C$8&lt;&gt;"",Creditos!$M$8="OK",32&lt;=Creditos!$H$8),EDATE(Creditos!$I$8,31),"")</f>
        <v/>
      </c>
      <c r="F157" s="48" t="str">
        <f>IF(AND(Creditos!$C$8&lt;&gt;"",Creditos!$M$8="OK",32&lt;=Creditos!$H$8),M156,"")</f>
        <v/>
      </c>
      <c r="G157" s="49" t="str">
        <f>IF(AND(Creditos!$C$8&lt;&gt;"",Creditos!$M$8="OK",32&lt;=Creditos!$H$8),Creditos!$N$8,"")</f>
        <v/>
      </c>
      <c r="H157" s="48" t="str">
        <f>IF(AND(Creditos!$C$8&lt;&gt;"",Creditos!$M$8="OK",32&lt;=Creditos!$H$8),ROUND(F157*G157,2),"")</f>
        <v/>
      </c>
      <c r="I157" s="48" t="str">
        <f>IF(AND(Creditos!$C$8&lt;&gt;"",Creditos!$M$8="OK",32&lt;=Creditos!$H$8),IF(32=Creditos!$H$8,F157+H157,MIN(Creditos!$O$8,F157+H157)),"")</f>
        <v/>
      </c>
      <c r="J157" s="48" t="str">
        <f>IF(AND(Creditos!$C$8&lt;&gt;"",Creditos!$M$8="OK",32&lt;=Creditos!$H$8),MIN(F157,MAX(0,I157-H157)),"")</f>
        <v/>
      </c>
      <c r="K157" s="48" t="str">
        <f>IF(AND(Creditos!$C$8&lt;&gt;"",Creditos!$M$8="OK",32&lt;=Creditos!$H$8),Creditos!$J$8+Creditos!$K$8,"")</f>
        <v/>
      </c>
      <c r="L157" s="48" t="str">
        <f>IF(AND(Creditos!$C$8&lt;&gt;"",Creditos!$M$8="OK",32&lt;=Creditos!$H$8),I157+K157,"")</f>
        <v/>
      </c>
      <c r="M157" s="48" t="str">
        <f>IF(AND(Creditos!$C$8&lt;&gt;"",Creditos!$M$8="OK",32&lt;=Creditos!$H$8),MAX(0,F157-J157),"")</f>
        <v/>
      </c>
      <c r="N157" s="48" t="str">
        <f>IF(AND(Creditos!$C$8&lt;&gt;"",Creditos!$M$8="OK",32&lt;=Creditos!$H$8),SUMIFS(Pagos!$F$6:$F$305,Pagos!$C$6:$C$305,C157,Pagos!$D$6:$D$305,D157,Pagos!$E$6:$E$305,"&lt;="&amp;Supuestos!$D$6,Pagos!$H$6:$H$305,"OK"),"")</f>
        <v/>
      </c>
      <c r="O157" s="48" t="str">
        <f>IF(AND(Creditos!$C$8&lt;&gt;"",Creditos!$M$8="OK",32&lt;=Creditos!$H$8),MIN(J157,MAX(0,N157-K157-H157)),"")</f>
        <v/>
      </c>
      <c r="P157" s="48" t="str">
        <f>IF(AND(Creditos!$C$8&lt;&gt;"",Creditos!$M$8="OK",32&lt;=Creditos!$H$8),MAX(0,L157-N157),"")</f>
        <v/>
      </c>
      <c r="Q157" s="50" t="str">
        <f>IF(AND(Creditos!$C$8&lt;&gt;"",Creditos!$M$8="OK",32&lt;=Creditos!$H$8),IF(AND(E157&lt;Supuestos!$D$6,P157&gt;0.005),Supuestos!$D$6-E157,0),"")</f>
        <v/>
      </c>
      <c r="R157" s="48" t="str">
        <f>IF(AND(Creditos!$C$8&lt;&gt;"",Creditos!$M$8="OK",32&lt;=Creditos!$H$8),MAX(0,N157-L157),"")</f>
        <v/>
      </c>
      <c r="S157" s="46" t="str">
        <f>IF(AND(Creditos!$C$8&lt;&gt;"",Creditos!$M$8="OK",32&lt;=Creditos!$H$8),IF(R157&gt;0.005,"Exceso sin imputar",IF(P157&lt;=0.005,"Pagada",IF(E157&lt;Supuestos!$D$6,"Vencida",IF(E157=Supuestos!$D$6,"Vence hoy","Por vencer")))),"")</f>
        <v/>
      </c>
      <c r="T157" s="46">
        <f>IF(AND(Creditos!$C$8&lt;&gt;"",Creditos!$M$8="OK",32&lt;=Creditos!$H$8),IF(P157&gt;0.005,E157,999999),999999)</f>
        <v>999999</v>
      </c>
    </row>
    <row r="158" ht="25.5" customHeight="1">
      <c r="C158" s="46" t="str">
        <f>IF(AND(Creditos!$C$8&lt;&gt;"",Creditos!$M$8="OK",33&lt;=Creditos!$H$8),Creditos!$C$8,"")</f>
        <v/>
      </c>
      <c r="D158" s="46" t="str">
        <f>IF(AND(Creditos!$C$8&lt;&gt;"",Creditos!$M$8="OK",33&lt;=Creditos!$H$8),33,"")</f>
        <v/>
      </c>
      <c r="E158" s="47" t="str">
        <f>IF(AND(Creditos!$C$8&lt;&gt;"",Creditos!$M$8="OK",33&lt;=Creditos!$H$8),EDATE(Creditos!$I$8,32),"")</f>
        <v/>
      </c>
      <c r="F158" s="48" t="str">
        <f>IF(AND(Creditos!$C$8&lt;&gt;"",Creditos!$M$8="OK",33&lt;=Creditos!$H$8),M157,"")</f>
        <v/>
      </c>
      <c r="G158" s="49" t="str">
        <f>IF(AND(Creditos!$C$8&lt;&gt;"",Creditos!$M$8="OK",33&lt;=Creditos!$H$8),Creditos!$N$8,"")</f>
        <v/>
      </c>
      <c r="H158" s="48" t="str">
        <f>IF(AND(Creditos!$C$8&lt;&gt;"",Creditos!$M$8="OK",33&lt;=Creditos!$H$8),ROUND(F158*G158,2),"")</f>
        <v/>
      </c>
      <c r="I158" s="48" t="str">
        <f>IF(AND(Creditos!$C$8&lt;&gt;"",Creditos!$M$8="OK",33&lt;=Creditos!$H$8),IF(33=Creditos!$H$8,F158+H158,MIN(Creditos!$O$8,F158+H158)),"")</f>
        <v/>
      </c>
      <c r="J158" s="48" t="str">
        <f>IF(AND(Creditos!$C$8&lt;&gt;"",Creditos!$M$8="OK",33&lt;=Creditos!$H$8),MIN(F158,MAX(0,I158-H158)),"")</f>
        <v/>
      </c>
      <c r="K158" s="48" t="str">
        <f>IF(AND(Creditos!$C$8&lt;&gt;"",Creditos!$M$8="OK",33&lt;=Creditos!$H$8),Creditos!$J$8+Creditos!$K$8,"")</f>
        <v/>
      </c>
      <c r="L158" s="48" t="str">
        <f>IF(AND(Creditos!$C$8&lt;&gt;"",Creditos!$M$8="OK",33&lt;=Creditos!$H$8),I158+K158,"")</f>
        <v/>
      </c>
      <c r="M158" s="48" t="str">
        <f>IF(AND(Creditos!$C$8&lt;&gt;"",Creditos!$M$8="OK",33&lt;=Creditos!$H$8),MAX(0,F158-J158),"")</f>
        <v/>
      </c>
      <c r="N158" s="48" t="str">
        <f>IF(AND(Creditos!$C$8&lt;&gt;"",Creditos!$M$8="OK",33&lt;=Creditos!$H$8),SUMIFS(Pagos!$F$6:$F$305,Pagos!$C$6:$C$305,C158,Pagos!$D$6:$D$305,D158,Pagos!$E$6:$E$305,"&lt;="&amp;Supuestos!$D$6,Pagos!$H$6:$H$305,"OK"),"")</f>
        <v/>
      </c>
      <c r="O158" s="48" t="str">
        <f>IF(AND(Creditos!$C$8&lt;&gt;"",Creditos!$M$8="OK",33&lt;=Creditos!$H$8),MIN(J158,MAX(0,N158-K158-H158)),"")</f>
        <v/>
      </c>
      <c r="P158" s="48" t="str">
        <f>IF(AND(Creditos!$C$8&lt;&gt;"",Creditos!$M$8="OK",33&lt;=Creditos!$H$8),MAX(0,L158-N158),"")</f>
        <v/>
      </c>
      <c r="Q158" s="50" t="str">
        <f>IF(AND(Creditos!$C$8&lt;&gt;"",Creditos!$M$8="OK",33&lt;=Creditos!$H$8),IF(AND(E158&lt;Supuestos!$D$6,P158&gt;0.005),Supuestos!$D$6-E158,0),"")</f>
        <v/>
      </c>
      <c r="R158" s="48" t="str">
        <f>IF(AND(Creditos!$C$8&lt;&gt;"",Creditos!$M$8="OK",33&lt;=Creditos!$H$8),MAX(0,N158-L158),"")</f>
        <v/>
      </c>
      <c r="S158" s="46" t="str">
        <f>IF(AND(Creditos!$C$8&lt;&gt;"",Creditos!$M$8="OK",33&lt;=Creditos!$H$8),IF(R158&gt;0.005,"Exceso sin imputar",IF(P158&lt;=0.005,"Pagada",IF(E158&lt;Supuestos!$D$6,"Vencida",IF(E158=Supuestos!$D$6,"Vence hoy","Por vencer")))),"")</f>
        <v/>
      </c>
      <c r="T158" s="46">
        <f>IF(AND(Creditos!$C$8&lt;&gt;"",Creditos!$M$8="OK",33&lt;=Creditos!$H$8),IF(P158&gt;0.005,E158,999999),999999)</f>
        <v>999999</v>
      </c>
    </row>
    <row r="159" ht="25.5" customHeight="1">
      <c r="C159" s="46" t="str">
        <f>IF(AND(Creditos!$C$8&lt;&gt;"",Creditos!$M$8="OK",34&lt;=Creditos!$H$8),Creditos!$C$8,"")</f>
        <v/>
      </c>
      <c r="D159" s="46" t="str">
        <f>IF(AND(Creditos!$C$8&lt;&gt;"",Creditos!$M$8="OK",34&lt;=Creditos!$H$8),34,"")</f>
        <v/>
      </c>
      <c r="E159" s="47" t="str">
        <f>IF(AND(Creditos!$C$8&lt;&gt;"",Creditos!$M$8="OK",34&lt;=Creditos!$H$8),EDATE(Creditos!$I$8,33),"")</f>
        <v/>
      </c>
      <c r="F159" s="48" t="str">
        <f>IF(AND(Creditos!$C$8&lt;&gt;"",Creditos!$M$8="OK",34&lt;=Creditos!$H$8),M158,"")</f>
        <v/>
      </c>
      <c r="G159" s="49" t="str">
        <f>IF(AND(Creditos!$C$8&lt;&gt;"",Creditos!$M$8="OK",34&lt;=Creditos!$H$8),Creditos!$N$8,"")</f>
        <v/>
      </c>
      <c r="H159" s="48" t="str">
        <f>IF(AND(Creditos!$C$8&lt;&gt;"",Creditos!$M$8="OK",34&lt;=Creditos!$H$8),ROUND(F159*G159,2),"")</f>
        <v/>
      </c>
      <c r="I159" s="48" t="str">
        <f>IF(AND(Creditos!$C$8&lt;&gt;"",Creditos!$M$8="OK",34&lt;=Creditos!$H$8),IF(34=Creditos!$H$8,F159+H159,MIN(Creditos!$O$8,F159+H159)),"")</f>
        <v/>
      </c>
      <c r="J159" s="48" t="str">
        <f>IF(AND(Creditos!$C$8&lt;&gt;"",Creditos!$M$8="OK",34&lt;=Creditos!$H$8),MIN(F159,MAX(0,I159-H159)),"")</f>
        <v/>
      </c>
      <c r="K159" s="48" t="str">
        <f>IF(AND(Creditos!$C$8&lt;&gt;"",Creditos!$M$8="OK",34&lt;=Creditos!$H$8),Creditos!$J$8+Creditos!$K$8,"")</f>
        <v/>
      </c>
      <c r="L159" s="48" t="str">
        <f>IF(AND(Creditos!$C$8&lt;&gt;"",Creditos!$M$8="OK",34&lt;=Creditos!$H$8),I159+K159,"")</f>
        <v/>
      </c>
      <c r="M159" s="48" t="str">
        <f>IF(AND(Creditos!$C$8&lt;&gt;"",Creditos!$M$8="OK",34&lt;=Creditos!$H$8),MAX(0,F159-J159),"")</f>
        <v/>
      </c>
      <c r="N159" s="48" t="str">
        <f>IF(AND(Creditos!$C$8&lt;&gt;"",Creditos!$M$8="OK",34&lt;=Creditos!$H$8),SUMIFS(Pagos!$F$6:$F$305,Pagos!$C$6:$C$305,C159,Pagos!$D$6:$D$305,D159,Pagos!$E$6:$E$305,"&lt;="&amp;Supuestos!$D$6,Pagos!$H$6:$H$305,"OK"),"")</f>
        <v/>
      </c>
      <c r="O159" s="48" t="str">
        <f>IF(AND(Creditos!$C$8&lt;&gt;"",Creditos!$M$8="OK",34&lt;=Creditos!$H$8),MIN(J159,MAX(0,N159-K159-H159)),"")</f>
        <v/>
      </c>
      <c r="P159" s="48" t="str">
        <f>IF(AND(Creditos!$C$8&lt;&gt;"",Creditos!$M$8="OK",34&lt;=Creditos!$H$8),MAX(0,L159-N159),"")</f>
        <v/>
      </c>
      <c r="Q159" s="50" t="str">
        <f>IF(AND(Creditos!$C$8&lt;&gt;"",Creditos!$M$8="OK",34&lt;=Creditos!$H$8),IF(AND(E159&lt;Supuestos!$D$6,P159&gt;0.005),Supuestos!$D$6-E159,0),"")</f>
        <v/>
      </c>
      <c r="R159" s="48" t="str">
        <f>IF(AND(Creditos!$C$8&lt;&gt;"",Creditos!$M$8="OK",34&lt;=Creditos!$H$8),MAX(0,N159-L159),"")</f>
        <v/>
      </c>
      <c r="S159" s="46" t="str">
        <f>IF(AND(Creditos!$C$8&lt;&gt;"",Creditos!$M$8="OK",34&lt;=Creditos!$H$8),IF(R159&gt;0.005,"Exceso sin imputar",IF(P159&lt;=0.005,"Pagada",IF(E159&lt;Supuestos!$D$6,"Vencida",IF(E159=Supuestos!$D$6,"Vence hoy","Por vencer")))),"")</f>
        <v/>
      </c>
      <c r="T159" s="46">
        <f>IF(AND(Creditos!$C$8&lt;&gt;"",Creditos!$M$8="OK",34&lt;=Creditos!$H$8),IF(P159&gt;0.005,E159,999999),999999)</f>
        <v>999999</v>
      </c>
    </row>
    <row r="160" ht="25.5" customHeight="1">
      <c r="C160" s="46" t="str">
        <f>IF(AND(Creditos!$C$8&lt;&gt;"",Creditos!$M$8="OK",35&lt;=Creditos!$H$8),Creditos!$C$8,"")</f>
        <v/>
      </c>
      <c r="D160" s="46" t="str">
        <f>IF(AND(Creditos!$C$8&lt;&gt;"",Creditos!$M$8="OK",35&lt;=Creditos!$H$8),35,"")</f>
        <v/>
      </c>
      <c r="E160" s="47" t="str">
        <f>IF(AND(Creditos!$C$8&lt;&gt;"",Creditos!$M$8="OK",35&lt;=Creditos!$H$8),EDATE(Creditos!$I$8,34),"")</f>
        <v/>
      </c>
      <c r="F160" s="48" t="str">
        <f>IF(AND(Creditos!$C$8&lt;&gt;"",Creditos!$M$8="OK",35&lt;=Creditos!$H$8),M159,"")</f>
        <v/>
      </c>
      <c r="G160" s="49" t="str">
        <f>IF(AND(Creditos!$C$8&lt;&gt;"",Creditos!$M$8="OK",35&lt;=Creditos!$H$8),Creditos!$N$8,"")</f>
        <v/>
      </c>
      <c r="H160" s="48" t="str">
        <f>IF(AND(Creditos!$C$8&lt;&gt;"",Creditos!$M$8="OK",35&lt;=Creditos!$H$8),ROUND(F160*G160,2),"")</f>
        <v/>
      </c>
      <c r="I160" s="48" t="str">
        <f>IF(AND(Creditos!$C$8&lt;&gt;"",Creditos!$M$8="OK",35&lt;=Creditos!$H$8),IF(35=Creditos!$H$8,F160+H160,MIN(Creditos!$O$8,F160+H160)),"")</f>
        <v/>
      </c>
      <c r="J160" s="48" t="str">
        <f>IF(AND(Creditos!$C$8&lt;&gt;"",Creditos!$M$8="OK",35&lt;=Creditos!$H$8),MIN(F160,MAX(0,I160-H160)),"")</f>
        <v/>
      </c>
      <c r="K160" s="48" t="str">
        <f>IF(AND(Creditos!$C$8&lt;&gt;"",Creditos!$M$8="OK",35&lt;=Creditos!$H$8),Creditos!$J$8+Creditos!$K$8,"")</f>
        <v/>
      </c>
      <c r="L160" s="48" t="str">
        <f>IF(AND(Creditos!$C$8&lt;&gt;"",Creditos!$M$8="OK",35&lt;=Creditos!$H$8),I160+K160,"")</f>
        <v/>
      </c>
      <c r="M160" s="48" t="str">
        <f>IF(AND(Creditos!$C$8&lt;&gt;"",Creditos!$M$8="OK",35&lt;=Creditos!$H$8),MAX(0,F160-J160),"")</f>
        <v/>
      </c>
      <c r="N160" s="48" t="str">
        <f>IF(AND(Creditos!$C$8&lt;&gt;"",Creditos!$M$8="OK",35&lt;=Creditos!$H$8),SUMIFS(Pagos!$F$6:$F$305,Pagos!$C$6:$C$305,C160,Pagos!$D$6:$D$305,D160,Pagos!$E$6:$E$305,"&lt;="&amp;Supuestos!$D$6,Pagos!$H$6:$H$305,"OK"),"")</f>
        <v/>
      </c>
      <c r="O160" s="48" t="str">
        <f>IF(AND(Creditos!$C$8&lt;&gt;"",Creditos!$M$8="OK",35&lt;=Creditos!$H$8),MIN(J160,MAX(0,N160-K160-H160)),"")</f>
        <v/>
      </c>
      <c r="P160" s="48" t="str">
        <f>IF(AND(Creditos!$C$8&lt;&gt;"",Creditos!$M$8="OK",35&lt;=Creditos!$H$8),MAX(0,L160-N160),"")</f>
        <v/>
      </c>
      <c r="Q160" s="50" t="str">
        <f>IF(AND(Creditos!$C$8&lt;&gt;"",Creditos!$M$8="OK",35&lt;=Creditos!$H$8),IF(AND(E160&lt;Supuestos!$D$6,P160&gt;0.005),Supuestos!$D$6-E160,0),"")</f>
        <v/>
      </c>
      <c r="R160" s="48" t="str">
        <f>IF(AND(Creditos!$C$8&lt;&gt;"",Creditos!$M$8="OK",35&lt;=Creditos!$H$8),MAX(0,N160-L160),"")</f>
        <v/>
      </c>
      <c r="S160" s="46" t="str">
        <f>IF(AND(Creditos!$C$8&lt;&gt;"",Creditos!$M$8="OK",35&lt;=Creditos!$H$8),IF(R160&gt;0.005,"Exceso sin imputar",IF(P160&lt;=0.005,"Pagada",IF(E160&lt;Supuestos!$D$6,"Vencida",IF(E160=Supuestos!$D$6,"Vence hoy","Por vencer")))),"")</f>
        <v/>
      </c>
      <c r="T160" s="46">
        <f>IF(AND(Creditos!$C$8&lt;&gt;"",Creditos!$M$8="OK",35&lt;=Creditos!$H$8),IF(P160&gt;0.005,E160,999999),999999)</f>
        <v>999999</v>
      </c>
    </row>
    <row r="161" ht="25.5" customHeight="1">
      <c r="C161" s="46" t="str">
        <f>IF(AND(Creditos!$C$8&lt;&gt;"",Creditos!$M$8="OK",36&lt;=Creditos!$H$8),Creditos!$C$8,"")</f>
        <v/>
      </c>
      <c r="D161" s="46" t="str">
        <f>IF(AND(Creditos!$C$8&lt;&gt;"",Creditos!$M$8="OK",36&lt;=Creditos!$H$8),36,"")</f>
        <v/>
      </c>
      <c r="E161" s="47" t="str">
        <f>IF(AND(Creditos!$C$8&lt;&gt;"",Creditos!$M$8="OK",36&lt;=Creditos!$H$8),EDATE(Creditos!$I$8,35),"")</f>
        <v/>
      </c>
      <c r="F161" s="48" t="str">
        <f>IF(AND(Creditos!$C$8&lt;&gt;"",Creditos!$M$8="OK",36&lt;=Creditos!$H$8),M160,"")</f>
        <v/>
      </c>
      <c r="G161" s="49" t="str">
        <f>IF(AND(Creditos!$C$8&lt;&gt;"",Creditos!$M$8="OK",36&lt;=Creditos!$H$8),Creditos!$N$8,"")</f>
        <v/>
      </c>
      <c r="H161" s="48" t="str">
        <f>IF(AND(Creditos!$C$8&lt;&gt;"",Creditos!$M$8="OK",36&lt;=Creditos!$H$8),ROUND(F161*G161,2),"")</f>
        <v/>
      </c>
      <c r="I161" s="48" t="str">
        <f>IF(AND(Creditos!$C$8&lt;&gt;"",Creditos!$M$8="OK",36&lt;=Creditos!$H$8),IF(36=Creditos!$H$8,F161+H161,MIN(Creditos!$O$8,F161+H161)),"")</f>
        <v/>
      </c>
      <c r="J161" s="48" t="str">
        <f>IF(AND(Creditos!$C$8&lt;&gt;"",Creditos!$M$8="OK",36&lt;=Creditos!$H$8),MIN(F161,MAX(0,I161-H161)),"")</f>
        <v/>
      </c>
      <c r="K161" s="48" t="str">
        <f>IF(AND(Creditos!$C$8&lt;&gt;"",Creditos!$M$8="OK",36&lt;=Creditos!$H$8),Creditos!$J$8+Creditos!$K$8,"")</f>
        <v/>
      </c>
      <c r="L161" s="48" t="str">
        <f>IF(AND(Creditos!$C$8&lt;&gt;"",Creditos!$M$8="OK",36&lt;=Creditos!$H$8),I161+K161,"")</f>
        <v/>
      </c>
      <c r="M161" s="48" t="str">
        <f>IF(AND(Creditos!$C$8&lt;&gt;"",Creditos!$M$8="OK",36&lt;=Creditos!$H$8),MAX(0,F161-J161),"")</f>
        <v/>
      </c>
      <c r="N161" s="48" t="str">
        <f>IF(AND(Creditos!$C$8&lt;&gt;"",Creditos!$M$8="OK",36&lt;=Creditos!$H$8),SUMIFS(Pagos!$F$6:$F$305,Pagos!$C$6:$C$305,C161,Pagos!$D$6:$D$305,D161,Pagos!$E$6:$E$305,"&lt;="&amp;Supuestos!$D$6,Pagos!$H$6:$H$305,"OK"),"")</f>
        <v/>
      </c>
      <c r="O161" s="48" t="str">
        <f>IF(AND(Creditos!$C$8&lt;&gt;"",Creditos!$M$8="OK",36&lt;=Creditos!$H$8),MIN(J161,MAX(0,N161-K161-H161)),"")</f>
        <v/>
      </c>
      <c r="P161" s="48" t="str">
        <f>IF(AND(Creditos!$C$8&lt;&gt;"",Creditos!$M$8="OK",36&lt;=Creditos!$H$8),MAX(0,L161-N161),"")</f>
        <v/>
      </c>
      <c r="Q161" s="50" t="str">
        <f>IF(AND(Creditos!$C$8&lt;&gt;"",Creditos!$M$8="OK",36&lt;=Creditos!$H$8),IF(AND(E161&lt;Supuestos!$D$6,P161&gt;0.005),Supuestos!$D$6-E161,0),"")</f>
        <v/>
      </c>
      <c r="R161" s="48" t="str">
        <f>IF(AND(Creditos!$C$8&lt;&gt;"",Creditos!$M$8="OK",36&lt;=Creditos!$H$8),MAX(0,N161-L161),"")</f>
        <v/>
      </c>
      <c r="S161" s="46" t="str">
        <f>IF(AND(Creditos!$C$8&lt;&gt;"",Creditos!$M$8="OK",36&lt;=Creditos!$H$8),IF(R161&gt;0.005,"Exceso sin imputar",IF(P161&lt;=0.005,"Pagada",IF(E161&lt;Supuestos!$D$6,"Vencida",IF(E161=Supuestos!$D$6,"Vence hoy","Por vencer")))),"")</f>
        <v/>
      </c>
      <c r="T161" s="46">
        <f>IF(AND(Creditos!$C$8&lt;&gt;"",Creditos!$M$8="OK",36&lt;=Creditos!$H$8),IF(P161&gt;0.005,E161,999999),999999)</f>
        <v>999999</v>
      </c>
    </row>
    <row r="162" ht="25.5" customHeight="1">
      <c r="C162" s="46" t="str">
        <f>IF(AND(Creditos!$C$8&lt;&gt;"",Creditos!$M$8="OK",37&lt;=Creditos!$H$8),Creditos!$C$8,"")</f>
        <v/>
      </c>
      <c r="D162" s="46" t="str">
        <f>IF(AND(Creditos!$C$8&lt;&gt;"",Creditos!$M$8="OK",37&lt;=Creditos!$H$8),37,"")</f>
        <v/>
      </c>
      <c r="E162" s="47" t="str">
        <f>IF(AND(Creditos!$C$8&lt;&gt;"",Creditos!$M$8="OK",37&lt;=Creditos!$H$8),EDATE(Creditos!$I$8,36),"")</f>
        <v/>
      </c>
      <c r="F162" s="48" t="str">
        <f>IF(AND(Creditos!$C$8&lt;&gt;"",Creditos!$M$8="OK",37&lt;=Creditos!$H$8),M161,"")</f>
        <v/>
      </c>
      <c r="G162" s="49" t="str">
        <f>IF(AND(Creditos!$C$8&lt;&gt;"",Creditos!$M$8="OK",37&lt;=Creditos!$H$8),Creditos!$N$8,"")</f>
        <v/>
      </c>
      <c r="H162" s="48" t="str">
        <f>IF(AND(Creditos!$C$8&lt;&gt;"",Creditos!$M$8="OK",37&lt;=Creditos!$H$8),ROUND(F162*G162,2),"")</f>
        <v/>
      </c>
      <c r="I162" s="48" t="str">
        <f>IF(AND(Creditos!$C$8&lt;&gt;"",Creditos!$M$8="OK",37&lt;=Creditos!$H$8),IF(37=Creditos!$H$8,F162+H162,MIN(Creditos!$O$8,F162+H162)),"")</f>
        <v/>
      </c>
      <c r="J162" s="48" t="str">
        <f>IF(AND(Creditos!$C$8&lt;&gt;"",Creditos!$M$8="OK",37&lt;=Creditos!$H$8),MIN(F162,MAX(0,I162-H162)),"")</f>
        <v/>
      </c>
      <c r="K162" s="48" t="str">
        <f>IF(AND(Creditos!$C$8&lt;&gt;"",Creditos!$M$8="OK",37&lt;=Creditos!$H$8),Creditos!$J$8+Creditos!$K$8,"")</f>
        <v/>
      </c>
      <c r="L162" s="48" t="str">
        <f>IF(AND(Creditos!$C$8&lt;&gt;"",Creditos!$M$8="OK",37&lt;=Creditos!$H$8),I162+K162,"")</f>
        <v/>
      </c>
      <c r="M162" s="48" t="str">
        <f>IF(AND(Creditos!$C$8&lt;&gt;"",Creditos!$M$8="OK",37&lt;=Creditos!$H$8),MAX(0,F162-J162),"")</f>
        <v/>
      </c>
      <c r="N162" s="48" t="str">
        <f>IF(AND(Creditos!$C$8&lt;&gt;"",Creditos!$M$8="OK",37&lt;=Creditos!$H$8),SUMIFS(Pagos!$F$6:$F$305,Pagos!$C$6:$C$305,C162,Pagos!$D$6:$D$305,D162,Pagos!$E$6:$E$305,"&lt;="&amp;Supuestos!$D$6,Pagos!$H$6:$H$305,"OK"),"")</f>
        <v/>
      </c>
      <c r="O162" s="48" t="str">
        <f>IF(AND(Creditos!$C$8&lt;&gt;"",Creditos!$M$8="OK",37&lt;=Creditos!$H$8),MIN(J162,MAX(0,N162-K162-H162)),"")</f>
        <v/>
      </c>
      <c r="P162" s="48" t="str">
        <f>IF(AND(Creditos!$C$8&lt;&gt;"",Creditos!$M$8="OK",37&lt;=Creditos!$H$8),MAX(0,L162-N162),"")</f>
        <v/>
      </c>
      <c r="Q162" s="50" t="str">
        <f>IF(AND(Creditos!$C$8&lt;&gt;"",Creditos!$M$8="OK",37&lt;=Creditos!$H$8),IF(AND(E162&lt;Supuestos!$D$6,P162&gt;0.005),Supuestos!$D$6-E162,0),"")</f>
        <v/>
      </c>
      <c r="R162" s="48" t="str">
        <f>IF(AND(Creditos!$C$8&lt;&gt;"",Creditos!$M$8="OK",37&lt;=Creditos!$H$8),MAX(0,N162-L162),"")</f>
        <v/>
      </c>
      <c r="S162" s="46" t="str">
        <f>IF(AND(Creditos!$C$8&lt;&gt;"",Creditos!$M$8="OK",37&lt;=Creditos!$H$8),IF(R162&gt;0.005,"Exceso sin imputar",IF(P162&lt;=0.005,"Pagada",IF(E162&lt;Supuestos!$D$6,"Vencida",IF(E162=Supuestos!$D$6,"Vence hoy","Por vencer")))),"")</f>
        <v/>
      </c>
      <c r="T162" s="46">
        <f>IF(AND(Creditos!$C$8&lt;&gt;"",Creditos!$M$8="OK",37&lt;=Creditos!$H$8),IF(P162&gt;0.005,E162,999999),999999)</f>
        <v>999999</v>
      </c>
    </row>
    <row r="163" ht="25.5" customHeight="1">
      <c r="C163" s="46" t="str">
        <f>IF(AND(Creditos!$C$8&lt;&gt;"",Creditos!$M$8="OK",38&lt;=Creditos!$H$8),Creditos!$C$8,"")</f>
        <v/>
      </c>
      <c r="D163" s="46" t="str">
        <f>IF(AND(Creditos!$C$8&lt;&gt;"",Creditos!$M$8="OK",38&lt;=Creditos!$H$8),38,"")</f>
        <v/>
      </c>
      <c r="E163" s="47" t="str">
        <f>IF(AND(Creditos!$C$8&lt;&gt;"",Creditos!$M$8="OK",38&lt;=Creditos!$H$8),EDATE(Creditos!$I$8,37),"")</f>
        <v/>
      </c>
      <c r="F163" s="48" t="str">
        <f>IF(AND(Creditos!$C$8&lt;&gt;"",Creditos!$M$8="OK",38&lt;=Creditos!$H$8),M162,"")</f>
        <v/>
      </c>
      <c r="G163" s="49" t="str">
        <f>IF(AND(Creditos!$C$8&lt;&gt;"",Creditos!$M$8="OK",38&lt;=Creditos!$H$8),Creditos!$N$8,"")</f>
        <v/>
      </c>
      <c r="H163" s="48" t="str">
        <f>IF(AND(Creditos!$C$8&lt;&gt;"",Creditos!$M$8="OK",38&lt;=Creditos!$H$8),ROUND(F163*G163,2),"")</f>
        <v/>
      </c>
      <c r="I163" s="48" t="str">
        <f>IF(AND(Creditos!$C$8&lt;&gt;"",Creditos!$M$8="OK",38&lt;=Creditos!$H$8),IF(38=Creditos!$H$8,F163+H163,MIN(Creditos!$O$8,F163+H163)),"")</f>
        <v/>
      </c>
      <c r="J163" s="48" t="str">
        <f>IF(AND(Creditos!$C$8&lt;&gt;"",Creditos!$M$8="OK",38&lt;=Creditos!$H$8),MIN(F163,MAX(0,I163-H163)),"")</f>
        <v/>
      </c>
      <c r="K163" s="48" t="str">
        <f>IF(AND(Creditos!$C$8&lt;&gt;"",Creditos!$M$8="OK",38&lt;=Creditos!$H$8),Creditos!$J$8+Creditos!$K$8,"")</f>
        <v/>
      </c>
      <c r="L163" s="48" t="str">
        <f>IF(AND(Creditos!$C$8&lt;&gt;"",Creditos!$M$8="OK",38&lt;=Creditos!$H$8),I163+K163,"")</f>
        <v/>
      </c>
      <c r="M163" s="48" t="str">
        <f>IF(AND(Creditos!$C$8&lt;&gt;"",Creditos!$M$8="OK",38&lt;=Creditos!$H$8),MAX(0,F163-J163),"")</f>
        <v/>
      </c>
      <c r="N163" s="48" t="str">
        <f>IF(AND(Creditos!$C$8&lt;&gt;"",Creditos!$M$8="OK",38&lt;=Creditos!$H$8),SUMIFS(Pagos!$F$6:$F$305,Pagos!$C$6:$C$305,C163,Pagos!$D$6:$D$305,D163,Pagos!$E$6:$E$305,"&lt;="&amp;Supuestos!$D$6,Pagos!$H$6:$H$305,"OK"),"")</f>
        <v/>
      </c>
      <c r="O163" s="48" t="str">
        <f>IF(AND(Creditos!$C$8&lt;&gt;"",Creditos!$M$8="OK",38&lt;=Creditos!$H$8),MIN(J163,MAX(0,N163-K163-H163)),"")</f>
        <v/>
      </c>
      <c r="P163" s="48" t="str">
        <f>IF(AND(Creditos!$C$8&lt;&gt;"",Creditos!$M$8="OK",38&lt;=Creditos!$H$8),MAX(0,L163-N163),"")</f>
        <v/>
      </c>
      <c r="Q163" s="50" t="str">
        <f>IF(AND(Creditos!$C$8&lt;&gt;"",Creditos!$M$8="OK",38&lt;=Creditos!$H$8),IF(AND(E163&lt;Supuestos!$D$6,P163&gt;0.005),Supuestos!$D$6-E163,0),"")</f>
        <v/>
      </c>
      <c r="R163" s="48" t="str">
        <f>IF(AND(Creditos!$C$8&lt;&gt;"",Creditos!$M$8="OK",38&lt;=Creditos!$H$8),MAX(0,N163-L163),"")</f>
        <v/>
      </c>
      <c r="S163" s="46" t="str">
        <f>IF(AND(Creditos!$C$8&lt;&gt;"",Creditos!$M$8="OK",38&lt;=Creditos!$H$8),IF(R163&gt;0.005,"Exceso sin imputar",IF(P163&lt;=0.005,"Pagada",IF(E163&lt;Supuestos!$D$6,"Vencida",IF(E163=Supuestos!$D$6,"Vence hoy","Por vencer")))),"")</f>
        <v/>
      </c>
      <c r="T163" s="46">
        <f>IF(AND(Creditos!$C$8&lt;&gt;"",Creditos!$M$8="OK",38&lt;=Creditos!$H$8),IF(P163&gt;0.005,E163,999999),999999)</f>
        <v>999999</v>
      </c>
    </row>
    <row r="164" ht="25.5" customHeight="1">
      <c r="C164" s="46" t="str">
        <f>IF(AND(Creditos!$C$8&lt;&gt;"",Creditos!$M$8="OK",39&lt;=Creditos!$H$8),Creditos!$C$8,"")</f>
        <v/>
      </c>
      <c r="D164" s="46" t="str">
        <f>IF(AND(Creditos!$C$8&lt;&gt;"",Creditos!$M$8="OK",39&lt;=Creditos!$H$8),39,"")</f>
        <v/>
      </c>
      <c r="E164" s="47" t="str">
        <f>IF(AND(Creditos!$C$8&lt;&gt;"",Creditos!$M$8="OK",39&lt;=Creditos!$H$8),EDATE(Creditos!$I$8,38),"")</f>
        <v/>
      </c>
      <c r="F164" s="48" t="str">
        <f>IF(AND(Creditos!$C$8&lt;&gt;"",Creditos!$M$8="OK",39&lt;=Creditos!$H$8),M163,"")</f>
        <v/>
      </c>
      <c r="G164" s="49" t="str">
        <f>IF(AND(Creditos!$C$8&lt;&gt;"",Creditos!$M$8="OK",39&lt;=Creditos!$H$8),Creditos!$N$8,"")</f>
        <v/>
      </c>
      <c r="H164" s="48" t="str">
        <f>IF(AND(Creditos!$C$8&lt;&gt;"",Creditos!$M$8="OK",39&lt;=Creditos!$H$8),ROUND(F164*G164,2),"")</f>
        <v/>
      </c>
      <c r="I164" s="48" t="str">
        <f>IF(AND(Creditos!$C$8&lt;&gt;"",Creditos!$M$8="OK",39&lt;=Creditos!$H$8),IF(39=Creditos!$H$8,F164+H164,MIN(Creditos!$O$8,F164+H164)),"")</f>
        <v/>
      </c>
      <c r="J164" s="48" t="str">
        <f>IF(AND(Creditos!$C$8&lt;&gt;"",Creditos!$M$8="OK",39&lt;=Creditos!$H$8),MIN(F164,MAX(0,I164-H164)),"")</f>
        <v/>
      </c>
      <c r="K164" s="48" t="str">
        <f>IF(AND(Creditos!$C$8&lt;&gt;"",Creditos!$M$8="OK",39&lt;=Creditos!$H$8),Creditos!$J$8+Creditos!$K$8,"")</f>
        <v/>
      </c>
      <c r="L164" s="48" t="str">
        <f>IF(AND(Creditos!$C$8&lt;&gt;"",Creditos!$M$8="OK",39&lt;=Creditos!$H$8),I164+K164,"")</f>
        <v/>
      </c>
      <c r="M164" s="48" t="str">
        <f>IF(AND(Creditos!$C$8&lt;&gt;"",Creditos!$M$8="OK",39&lt;=Creditos!$H$8),MAX(0,F164-J164),"")</f>
        <v/>
      </c>
      <c r="N164" s="48" t="str">
        <f>IF(AND(Creditos!$C$8&lt;&gt;"",Creditos!$M$8="OK",39&lt;=Creditos!$H$8),SUMIFS(Pagos!$F$6:$F$305,Pagos!$C$6:$C$305,C164,Pagos!$D$6:$D$305,D164,Pagos!$E$6:$E$305,"&lt;="&amp;Supuestos!$D$6,Pagos!$H$6:$H$305,"OK"),"")</f>
        <v/>
      </c>
      <c r="O164" s="48" t="str">
        <f>IF(AND(Creditos!$C$8&lt;&gt;"",Creditos!$M$8="OK",39&lt;=Creditos!$H$8),MIN(J164,MAX(0,N164-K164-H164)),"")</f>
        <v/>
      </c>
      <c r="P164" s="48" t="str">
        <f>IF(AND(Creditos!$C$8&lt;&gt;"",Creditos!$M$8="OK",39&lt;=Creditos!$H$8),MAX(0,L164-N164),"")</f>
        <v/>
      </c>
      <c r="Q164" s="50" t="str">
        <f>IF(AND(Creditos!$C$8&lt;&gt;"",Creditos!$M$8="OK",39&lt;=Creditos!$H$8),IF(AND(E164&lt;Supuestos!$D$6,P164&gt;0.005),Supuestos!$D$6-E164,0),"")</f>
        <v/>
      </c>
      <c r="R164" s="48" t="str">
        <f>IF(AND(Creditos!$C$8&lt;&gt;"",Creditos!$M$8="OK",39&lt;=Creditos!$H$8),MAX(0,N164-L164),"")</f>
        <v/>
      </c>
      <c r="S164" s="46" t="str">
        <f>IF(AND(Creditos!$C$8&lt;&gt;"",Creditos!$M$8="OK",39&lt;=Creditos!$H$8),IF(R164&gt;0.005,"Exceso sin imputar",IF(P164&lt;=0.005,"Pagada",IF(E164&lt;Supuestos!$D$6,"Vencida",IF(E164=Supuestos!$D$6,"Vence hoy","Por vencer")))),"")</f>
        <v/>
      </c>
      <c r="T164" s="46">
        <f>IF(AND(Creditos!$C$8&lt;&gt;"",Creditos!$M$8="OK",39&lt;=Creditos!$H$8),IF(P164&gt;0.005,E164,999999),999999)</f>
        <v>999999</v>
      </c>
    </row>
    <row r="165" ht="25.5" customHeight="1">
      <c r="C165" s="46" t="str">
        <f>IF(AND(Creditos!$C$8&lt;&gt;"",Creditos!$M$8="OK",40&lt;=Creditos!$H$8),Creditos!$C$8,"")</f>
        <v/>
      </c>
      <c r="D165" s="46" t="str">
        <f>IF(AND(Creditos!$C$8&lt;&gt;"",Creditos!$M$8="OK",40&lt;=Creditos!$H$8),40,"")</f>
        <v/>
      </c>
      <c r="E165" s="47" t="str">
        <f>IF(AND(Creditos!$C$8&lt;&gt;"",Creditos!$M$8="OK",40&lt;=Creditos!$H$8),EDATE(Creditos!$I$8,39),"")</f>
        <v/>
      </c>
      <c r="F165" s="48" t="str">
        <f>IF(AND(Creditos!$C$8&lt;&gt;"",Creditos!$M$8="OK",40&lt;=Creditos!$H$8),M164,"")</f>
        <v/>
      </c>
      <c r="G165" s="49" t="str">
        <f>IF(AND(Creditos!$C$8&lt;&gt;"",Creditos!$M$8="OK",40&lt;=Creditos!$H$8),Creditos!$N$8,"")</f>
        <v/>
      </c>
      <c r="H165" s="48" t="str">
        <f>IF(AND(Creditos!$C$8&lt;&gt;"",Creditos!$M$8="OK",40&lt;=Creditos!$H$8),ROUND(F165*G165,2),"")</f>
        <v/>
      </c>
      <c r="I165" s="48" t="str">
        <f>IF(AND(Creditos!$C$8&lt;&gt;"",Creditos!$M$8="OK",40&lt;=Creditos!$H$8),IF(40=Creditos!$H$8,F165+H165,MIN(Creditos!$O$8,F165+H165)),"")</f>
        <v/>
      </c>
      <c r="J165" s="48" t="str">
        <f>IF(AND(Creditos!$C$8&lt;&gt;"",Creditos!$M$8="OK",40&lt;=Creditos!$H$8),MIN(F165,MAX(0,I165-H165)),"")</f>
        <v/>
      </c>
      <c r="K165" s="48" t="str">
        <f>IF(AND(Creditos!$C$8&lt;&gt;"",Creditos!$M$8="OK",40&lt;=Creditos!$H$8),Creditos!$J$8+Creditos!$K$8,"")</f>
        <v/>
      </c>
      <c r="L165" s="48" t="str">
        <f>IF(AND(Creditos!$C$8&lt;&gt;"",Creditos!$M$8="OK",40&lt;=Creditos!$H$8),I165+K165,"")</f>
        <v/>
      </c>
      <c r="M165" s="48" t="str">
        <f>IF(AND(Creditos!$C$8&lt;&gt;"",Creditos!$M$8="OK",40&lt;=Creditos!$H$8),MAX(0,F165-J165),"")</f>
        <v/>
      </c>
      <c r="N165" s="48" t="str">
        <f>IF(AND(Creditos!$C$8&lt;&gt;"",Creditos!$M$8="OK",40&lt;=Creditos!$H$8),SUMIFS(Pagos!$F$6:$F$305,Pagos!$C$6:$C$305,C165,Pagos!$D$6:$D$305,D165,Pagos!$E$6:$E$305,"&lt;="&amp;Supuestos!$D$6,Pagos!$H$6:$H$305,"OK"),"")</f>
        <v/>
      </c>
      <c r="O165" s="48" t="str">
        <f>IF(AND(Creditos!$C$8&lt;&gt;"",Creditos!$M$8="OK",40&lt;=Creditos!$H$8),MIN(J165,MAX(0,N165-K165-H165)),"")</f>
        <v/>
      </c>
      <c r="P165" s="48" t="str">
        <f>IF(AND(Creditos!$C$8&lt;&gt;"",Creditos!$M$8="OK",40&lt;=Creditos!$H$8),MAX(0,L165-N165),"")</f>
        <v/>
      </c>
      <c r="Q165" s="50" t="str">
        <f>IF(AND(Creditos!$C$8&lt;&gt;"",Creditos!$M$8="OK",40&lt;=Creditos!$H$8),IF(AND(E165&lt;Supuestos!$D$6,P165&gt;0.005),Supuestos!$D$6-E165,0),"")</f>
        <v/>
      </c>
      <c r="R165" s="48" t="str">
        <f>IF(AND(Creditos!$C$8&lt;&gt;"",Creditos!$M$8="OK",40&lt;=Creditos!$H$8),MAX(0,N165-L165),"")</f>
        <v/>
      </c>
      <c r="S165" s="46" t="str">
        <f>IF(AND(Creditos!$C$8&lt;&gt;"",Creditos!$M$8="OK",40&lt;=Creditos!$H$8),IF(R165&gt;0.005,"Exceso sin imputar",IF(P165&lt;=0.005,"Pagada",IF(E165&lt;Supuestos!$D$6,"Vencida",IF(E165=Supuestos!$D$6,"Vence hoy","Por vencer")))),"")</f>
        <v/>
      </c>
      <c r="T165" s="46">
        <f>IF(AND(Creditos!$C$8&lt;&gt;"",Creditos!$M$8="OK",40&lt;=Creditos!$H$8),IF(P165&gt;0.005,E165,999999),999999)</f>
        <v>999999</v>
      </c>
    </row>
    <row r="166" ht="25.5" customHeight="1">
      <c r="C166" s="46" t="str">
        <f>IF(AND(Creditos!$C$8&lt;&gt;"",Creditos!$M$8="OK",41&lt;=Creditos!$H$8),Creditos!$C$8,"")</f>
        <v/>
      </c>
      <c r="D166" s="46" t="str">
        <f>IF(AND(Creditos!$C$8&lt;&gt;"",Creditos!$M$8="OK",41&lt;=Creditos!$H$8),41,"")</f>
        <v/>
      </c>
      <c r="E166" s="47" t="str">
        <f>IF(AND(Creditos!$C$8&lt;&gt;"",Creditos!$M$8="OK",41&lt;=Creditos!$H$8),EDATE(Creditos!$I$8,40),"")</f>
        <v/>
      </c>
      <c r="F166" s="48" t="str">
        <f>IF(AND(Creditos!$C$8&lt;&gt;"",Creditos!$M$8="OK",41&lt;=Creditos!$H$8),M165,"")</f>
        <v/>
      </c>
      <c r="G166" s="49" t="str">
        <f>IF(AND(Creditos!$C$8&lt;&gt;"",Creditos!$M$8="OK",41&lt;=Creditos!$H$8),Creditos!$N$8,"")</f>
        <v/>
      </c>
      <c r="H166" s="48" t="str">
        <f>IF(AND(Creditos!$C$8&lt;&gt;"",Creditos!$M$8="OK",41&lt;=Creditos!$H$8),ROUND(F166*G166,2),"")</f>
        <v/>
      </c>
      <c r="I166" s="48" t="str">
        <f>IF(AND(Creditos!$C$8&lt;&gt;"",Creditos!$M$8="OK",41&lt;=Creditos!$H$8),IF(41=Creditos!$H$8,F166+H166,MIN(Creditos!$O$8,F166+H166)),"")</f>
        <v/>
      </c>
      <c r="J166" s="48" t="str">
        <f>IF(AND(Creditos!$C$8&lt;&gt;"",Creditos!$M$8="OK",41&lt;=Creditos!$H$8),MIN(F166,MAX(0,I166-H166)),"")</f>
        <v/>
      </c>
      <c r="K166" s="48" t="str">
        <f>IF(AND(Creditos!$C$8&lt;&gt;"",Creditos!$M$8="OK",41&lt;=Creditos!$H$8),Creditos!$J$8+Creditos!$K$8,"")</f>
        <v/>
      </c>
      <c r="L166" s="48" t="str">
        <f>IF(AND(Creditos!$C$8&lt;&gt;"",Creditos!$M$8="OK",41&lt;=Creditos!$H$8),I166+K166,"")</f>
        <v/>
      </c>
      <c r="M166" s="48" t="str">
        <f>IF(AND(Creditos!$C$8&lt;&gt;"",Creditos!$M$8="OK",41&lt;=Creditos!$H$8),MAX(0,F166-J166),"")</f>
        <v/>
      </c>
      <c r="N166" s="48" t="str">
        <f>IF(AND(Creditos!$C$8&lt;&gt;"",Creditos!$M$8="OK",41&lt;=Creditos!$H$8),SUMIFS(Pagos!$F$6:$F$305,Pagos!$C$6:$C$305,C166,Pagos!$D$6:$D$305,D166,Pagos!$E$6:$E$305,"&lt;="&amp;Supuestos!$D$6,Pagos!$H$6:$H$305,"OK"),"")</f>
        <v/>
      </c>
      <c r="O166" s="48" t="str">
        <f>IF(AND(Creditos!$C$8&lt;&gt;"",Creditos!$M$8="OK",41&lt;=Creditos!$H$8),MIN(J166,MAX(0,N166-K166-H166)),"")</f>
        <v/>
      </c>
      <c r="P166" s="48" t="str">
        <f>IF(AND(Creditos!$C$8&lt;&gt;"",Creditos!$M$8="OK",41&lt;=Creditos!$H$8),MAX(0,L166-N166),"")</f>
        <v/>
      </c>
      <c r="Q166" s="50" t="str">
        <f>IF(AND(Creditos!$C$8&lt;&gt;"",Creditos!$M$8="OK",41&lt;=Creditos!$H$8),IF(AND(E166&lt;Supuestos!$D$6,P166&gt;0.005),Supuestos!$D$6-E166,0),"")</f>
        <v/>
      </c>
      <c r="R166" s="48" t="str">
        <f>IF(AND(Creditos!$C$8&lt;&gt;"",Creditos!$M$8="OK",41&lt;=Creditos!$H$8),MAX(0,N166-L166),"")</f>
        <v/>
      </c>
      <c r="S166" s="46" t="str">
        <f>IF(AND(Creditos!$C$8&lt;&gt;"",Creditos!$M$8="OK",41&lt;=Creditos!$H$8),IF(R166&gt;0.005,"Exceso sin imputar",IF(P166&lt;=0.005,"Pagada",IF(E166&lt;Supuestos!$D$6,"Vencida",IF(E166=Supuestos!$D$6,"Vence hoy","Por vencer")))),"")</f>
        <v/>
      </c>
      <c r="T166" s="46">
        <f>IF(AND(Creditos!$C$8&lt;&gt;"",Creditos!$M$8="OK",41&lt;=Creditos!$H$8),IF(P166&gt;0.005,E166,999999),999999)</f>
        <v>999999</v>
      </c>
    </row>
    <row r="167" ht="25.5" customHeight="1">
      <c r="C167" s="46" t="str">
        <f>IF(AND(Creditos!$C$8&lt;&gt;"",Creditos!$M$8="OK",42&lt;=Creditos!$H$8),Creditos!$C$8,"")</f>
        <v/>
      </c>
      <c r="D167" s="46" t="str">
        <f>IF(AND(Creditos!$C$8&lt;&gt;"",Creditos!$M$8="OK",42&lt;=Creditos!$H$8),42,"")</f>
        <v/>
      </c>
      <c r="E167" s="47" t="str">
        <f>IF(AND(Creditos!$C$8&lt;&gt;"",Creditos!$M$8="OK",42&lt;=Creditos!$H$8),EDATE(Creditos!$I$8,41),"")</f>
        <v/>
      </c>
      <c r="F167" s="48" t="str">
        <f>IF(AND(Creditos!$C$8&lt;&gt;"",Creditos!$M$8="OK",42&lt;=Creditos!$H$8),M166,"")</f>
        <v/>
      </c>
      <c r="G167" s="49" t="str">
        <f>IF(AND(Creditos!$C$8&lt;&gt;"",Creditos!$M$8="OK",42&lt;=Creditos!$H$8),Creditos!$N$8,"")</f>
        <v/>
      </c>
      <c r="H167" s="48" t="str">
        <f>IF(AND(Creditos!$C$8&lt;&gt;"",Creditos!$M$8="OK",42&lt;=Creditos!$H$8),ROUND(F167*G167,2),"")</f>
        <v/>
      </c>
      <c r="I167" s="48" t="str">
        <f>IF(AND(Creditos!$C$8&lt;&gt;"",Creditos!$M$8="OK",42&lt;=Creditos!$H$8),IF(42=Creditos!$H$8,F167+H167,MIN(Creditos!$O$8,F167+H167)),"")</f>
        <v/>
      </c>
      <c r="J167" s="48" t="str">
        <f>IF(AND(Creditos!$C$8&lt;&gt;"",Creditos!$M$8="OK",42&lt;=Creditos!$H$8),MIN(F167,MAX(0,I167-H167)),"")</f>
        <v/>
      </c>
      <c r="K167" s="48" t="str">
        <f>IF(AND(Creditos!$C$8&lt;&gt;"",Creditos!$M$8="OK",42&lt;=Creditos!$H$8),Creditos!$J$8+Creditos!$K$8,"")</f>
        <v/>
      </c>
      <c r="L167" s="48" t="str">
        <f>IF(AND(Creditos!$C$8&lt;&gt;"",Creditos!$M$8="OK",42&lt;=Creditos!$H$8),I167+K167,"")</f>
        <v/>
      </c>
      <c r="M167" s="48" t="str">
        <f>IF(AND(Creditos!$C$8&lt;&gt;"",Creditos!$M$8="OK",42&lt;=Creditos!$H$8),MAX(0,F167-J167),"")</f>
        <v/>
      </c>
      <c r="N167" s="48" t="str">
        <f>IF(AND(Creditos!$C$8&lt;&gt;"",Creditos!$M$8="OK",42&lt;=Creditos!$H$8),SUMIFS(Pagos!$F$6:$F$305,Pagos!$C$6:$C$305,C167,Pagos!$D$6:$D$305,D167,Pagos!$E$6:$E$305,"&lt;="&amp;Supuestos!$D$6,Pagos!$H$6:$H$305,"OK"),"")</f>
        <v/>
      </c>
      <c r="O167" s="48" t="str">
        <f>IF(AND(Creditos!$C$8&lt;&gt;"",Creditos!$M$8="OK",42&lt;=Creditos!$H$8),MIN(J167,MAX(0,N167-K167-H167)),"")</f>
        <v/>
      </c>
      <c r="P167" s="48" t="str">
        <f>IF(AND(Creditos!$C$8&lt;&gt;"",Creditos!$M$8="OK",42&lt;=Creditos!$H$8),MAX(0,L167-N167),"")</f>
        <v/>
      </c>
      <c r="Q167" s="50" t="str">
        <f>IF(AND(Creditos!$C$8&lt;&gt;"",Creditos!$M$8="OK",42&lt;=Creditos!$H$8),IF(AND(E167&lt;Supuestos!$D$6,P167&gt;0.005),Supuestos!$D$6-E167,0),"")</f>
        <v/>
      </c>
      <c r="R167" s="48" t="str">
        <f>IF(AND(Creditos!$C$8&lt;&gt;"",Creditos!$M$8="OK",42&lt;=Creditos!$H$8),MAX(0,N167-L167),"")</f>
        <v/>
      </c>
      <c r="S167" s="46" t="str">
        <f>IF(AND(Creditos!$C$8&lt;&gt;"",Creditos!$M$8="OK",42&lt;=Creditos!$H$8),IF(R167&gt;0.005,"Exceso sin imputar",IF(P167&lt;=0.005,"Pagada",IF(E167&lt;Supuestos!$D$6,"Vencida",IF(E167=Supuestos!$D$6,"Vence hoy","Por vencer")))),"")</f>
        <v/>
      </c>
      <c r="T167" s="46">
        <f>IF(AND(Creditos!$C$8&lt;&gt;"",Creditos!$M$8="OK",42&lt;=Creditos!$H$8),IF(P167&gt;0.005,E167,999999),999999)</f>
        <v>999999</v>
      </c>
    </row>
    <row r="168" ht="25.5" customHeight="1">
      <c r="C168" s="46" t="str">
        <f>IF(AND(Creditos!$C$8&lt;&gt;"",Creditos!$M$8="OK",43&lt;=Creditos!$H$8),Creditos!$C$8,"")</f>
        <v/>
      </c>
      <c r="D168" s="46" t="str">
        <f>IF(AND(Creditos!$C$8&lt;&gt;"",Creditos!$M$8="OK",43&lt;=Creditos!$H$8),43,"")</f>
        <v/>
      </c>
      <c r="E168" s="47" t="str">
        <f>IF(AND(Creditos!$C$8&lt;&gt;"",Creditos!$M$8="OK",43&lt;=Creditos!$H$8),EDATE(Creditos!$I$8,42),"")</f>
        <v/>
      </c>
      <c r="F168" s="48" t="str">
        <f>IF(AND(Creditos!$C$8&lt;&gt;"",Creditos!$M$8="OK",43&lt;=Creditos!$H$8),M167,"")</f>
        <v/>
      </c>
      <c r="G168" s="49" t="str">
        <f>IF(AND(Creditos!$C$8&lt;&gt;"",Creditos!$M$8="OK",43&lt;=Creditos!$H$8),Creditos!$N$8,"")</f>
        <v/>
      </c>
      <c r="H168" s="48" t="str">
        <f>IF(AND(Creditos!$C$8&lt;&gt;"",Creditos!$M$8="OK",43&lt;=Creditos!$H$8),ROUND(F168*G168,2),"")</f>
        <v/>
      </c>
      <c r="I168" s="48" t="str">
        <f>IF(AND(Creditos!$C$8&lt;&gt;"",Creditos!$M$8="OK",43&lt;=Creditos!$H$8),IF(43=Creditos!$H$8,F168+H168,MIN(Creditos!$O$8,F168+H168)),"")</f>
        <v/>
      </c>
      <c r="J168" s="48" t="str">
        <f>IF(AND(Creditos!$C$8&lt;&gt;"",Creditos!$M$8="OK",43&lt;=Creditos!$H$8),MIN(F168,MAX(0,I168-H168)),"")</f>
        <v/>
      </c>
      <c r="K168" s="48" t="str">
        <f>IF(AND(Creditos!$C$8&lt;&gt;"",Creditos!$M$8="OK",43&lt;=Creditos!$H$8),Creditos!$J$8+Creditos!$K$8,"")</f>
        <v/>
      </c>
      <c r="L168" s="48" t="str">
        <f>IF(AND(Creditos!$C$8&lt;&gt;"",Creditos!$M$8="OK",43&lt;=Creditos!$H$8),I168+K168,"")</f>
        <v/>
      </c>
      <c r="M168" s="48" t="str">
        <f>IF(AND(Creditos!$C$8&lt;&gt;"",Creditos!$M$8="OK",43&lt;=Creditos!$H$8),MAX(0,F168-J168),"")</f>
        <v/>
      </c>
      <c r="N168" s="48" t="str">
        <f>IF(AND(Creditos!$C$8&lt;&gt;"",Creditos!$M$8="OK",43&lt;=Creditos!$H$8),SUMIFS(Pagos!$F$6:$F$305,Pagos!$C$6:$C$305,C168,Pagos!$D$6:$D$305,D168,Pagos!$E$6:$E$305,"&lt;="&amp;Supuestos!$D$6,Pagos!$H$6:$H$305,"OK"),"")</f>
        <v/>
      </c>
      <c r="O168" s="48" t="str">
        <f>IF(AND(Creditos!$C$8&lt;&gt;"",Creditos!$M$8="OK",43&lt;=Creditos!$H$8),MIN(J168,MAX(0,N168-K168-H168)),"")</f>
        <v/>
      </c>
      <c r="P168" s="48" t="str">
        <f>IF(AND(Creditos!$C$8&lt;&gt;"",Creditos!$M$8="OK",43&lt;=Creditos!$H$8),MAX(0,L168-N168),"")</f>
        <v/>
      </c>
      <c r="Q168" s="50" t="str">
        <f>IF(AND(Creditos!$C$8&lt;&gt;"",Creditos!$M$8="OK",43&lt;=Creditos!$H$8),IF(AND(E168&lt;Supuestos!$D$6,P168&gt;0.005),Supuestos!$D$6-E168,0),"")</f>
        <v/>
      </c>
      <c r="R168" s="48" t="str">
        <f>IF(AND(Creditos!$C$8&lt;&gt;"",Creditos!$M$8="OK",43&lt;=Creditos!$H$8),MAX(0,N168-L168),"")</f>
        <v/>
      </c>
      <c r="S168" s="46" t="str">
        <f>IF(AND(Creditos!$C$8&lt;&gt;"",Creditos!$M$8="OK",43&lt;=Creditos!$H$8),IF(R168&gt;0.005,"Exceso sin imputar",IF(P168&lt;=0.005,"Pagada",IF(E168&lt;Supuestos!$D$6,"Vencida",IF(E168=Supuestos!$D$6,"Vence hoy","Por vencer")))),"")</f>
        <v/>
      </c>
      <c r="T168" s="46">
        <f>IF(AND(Creditos!$C$8&lt;&gt;"",Creditos!$M$8="OK",43&lt;=Creditos!$H$8),IF(P168&gt;0.005,E168,999999),999999)</f>
        <v>999999</v>
      </c>
    </row>
    <row r="169" ht="25.5" customHeight="1">
      <c r="C169" s="46" t="str">
        <f>IF(AND(Creditos!$C$8&lt;&gt;"",Creditos!$M$8="OK",44&lt;=Creditos!$H$8),Creditos!$C$8,"")</f>
        <v/>
      </c>
      <c r="D169" s="46" t="str">
        <f>IF(AND(Creditos!$C$8&lt;&gt;"",Creditos!$M$8="OK",44&lt;=Creditos!$H$8),44,"")</f>
        <v/>
      </c>
      <c r="E169" s="47" t="str">
        <f>IF(AND(Creditos!$C$8&lt;&gt;"",Creditos!$M$8="OK",44&lt;=Creditos!$H$8),EDATE(Creditos!$I$8,43),"")</f>
        <v/>
      </c>
      <c r="F169" s="48" t="str">
        <f>IF(AND(Creditos!$C$8&lt;&gt;"",Creditos!$M$8="OK",44&lt;=Creditos!$H$8),M168,"")</f>
        <v/>
      </c>
      <c r="G169" s="49" t="str">
        <f>IF(AND(Creditos!$C$8&lt;&gt;"",Creditos!$M$8="OK",44&lt;=Creditos!$H$8),Creditos!$N$8,"")</f>
        <v/>
      </c>
      <c r="H169" s="48" t="str">
        <f>IF(AND(Creditos!$C$8&lt;&gt;"",Creditos!$M$8="OK",44&lt;=Creditos!$H$8),ROUND(F169*G169,2),"")</f>
        <v/>
      </c>
      <c r="I169" s="48" t="str">
        <f>IF(AND(Creditos!$C$8&lt;&gt;"",Creditos!$M$8="OK",44&lt;=Creditos!$H$8),IF(44=Creditos!$H$8,F169+H169,MIN(Creditos!$O$8,F169+H169)),"")</f>
        <v/>
      </c>
      <c r="J169" s="48" t="str">
        <f>IF(AND(Creditos!$C$8&lt;&gt;"",Creditos!$M$8="OK",44&lt;=Creditos!$H$8),MIN(F169,MAX(0,I169-H169)),"")</f>
        <v/>
      </c>
      <c r="K169" s="48" t="str">
        <f>IF(AND(Creditos!$C$8&lt;&gt;"",Creditos!$M$8="OK",44&lt;=Creditos!$H$8),Creditos!$J$8+Creditos!$K$8,"")</f>
        <v/>
      </c>
      <c r="L169" s="48" t="str">
        <f>IF(AND(Creditos!$C$8&lt;&gt;"",Creditos!$M$8="OK",44&lt;=Creditos!$H$8),I169+K169,"")</f>
        <v/>
      </c>
      <c r="M169" s="48" t="str">
        <f>IF(AND(Creditos!$C$8&lt;&gt;"",Creditos!$M$8="OK",44&lt;=Creditos!$H$8),MAX(0,F169-J169),"")</f>
        <v/>
      </c>
      <c r="N169" s="48" t="str">
        <f>IF(AND(Creditos!$C$8&lt;&gt;"",Creditos!$M$8="OK",44&lt;=Creditos!$H$8),SUMIFS(Pagos!$F$6:$F$305,Pagos!$C$6:$C$305,C169,Pagos!$D$6:$D$305,D169,Pagos!$E$6:$E$305,"&lt;="&amp;Supuestos!$D$6,Pagos!$H$6:$H$305,"OK"),"")</f>
        <v/>
      </c>
      <c r="O169" s="48" t="str">
        <f>IF(AND(Creditos!$C$8&lt;&gt;"",Creditos!$M$8="OK",44&lt;=Creditos!$H$8),MIN(J169,MAX(0,N169-K169-H169)),"")</f>
        <v/>
      </c>
      <c r="P169" s="48" t="str">
        <f>IF(AND(Creditos!$C$8&lt;&gt;"",Creditos!$M$8="OK",44&lt;=Creditos!$H$8),MAX(0,L169-N169),"")</f>
        <v/>
      </c>
      <c r="Q169" s="50" t="str">
        <f>IF(AND(Creditos!$C$8&lt;&gt;"",Creditos!$M$8="OK",44&lt;=Creditos!$H$8),IF(AND(E169&lt;Supuestos!$D$6,P169&gt;0.005),Supuestos!$D$6-E169,0),"")</f>
        <v/>
      </c>
      <c r="R169" s="48" t="str">
        <f>IF(AND(Creditos!$C$8&lt;&gt;"",Creditos!$M$8="OK",44&lt;=Creditos!$H$8),MAX(0,N169-L169),"")</f>
        <v/>
      </c>
      <c r="S169" s="46" t="str">
        <f>IF(AND(Creditos!$C$8&lt;&gt;"",Creditos!$M$8="OK",44&lt;=Creditos!$H$8),IF(R169&gt;0.005,"Exceso sin imputar",IF(P169&lt;=0.005,"Pagada",IF(E169&lt;Supuestos!$D$6,"Vencida",IF(E169=Supuestos!$D$6,"Vence hoy","Por vencer")))),"")</f>
        <v/>
      </c>
      <c r="T169" s="46">
        <f>IF(AND(Creditos!$C$8&lt;&gt;"",Creditos!$M$8="OK",44&lt;=Creditos!$H$8),IF(P169&gt;0.005,E169,999999),999999)</f>
        <v>999999</v>
      </c>
    </row>
    <row r="170" ht="25.5" customHeight="1">
      <c r="C170" s="46" t="str">
        <f>IF(AND(Creditos!$C$8&lt;&gt;"",Creditos!$M$8="OK",45&lt;=Creditos!$H$8),Creditos!$C$8,"")</f>
        <v/>
      </c>
      <c r="D170" s="46" t="str">
        <f>IF(AND(Creditos!$C$8&lt;&gt;"",Creditos!$M$8="OK",45&lt;=Creditos!$H$8),45,"")</f>
        <v/>
      </c>
      <c r="E170" s="47" t="str">
        <f>IF(AND(Creditos!$C$8&lt;&gt;"",Creditos!$M$8="OK",45&lt;=Creditos!$H$8),EDATE(Creditos!$I$8,44),"")</f>
        <v/>
      </c>
      <c r="F170" s="48" t="str">
        <f>IF(AND(Creditos!$C$8&lt;&gt;"",Creditos!$M$8="OK",45&lt;=Creditos!$H$8),M169,"")</f>
        <v/>
      </c>
      <c r="G170" s="49" t="str">
        <f>IF(AND(Creditos!$C$8&lt;&gt;"",Creditos!$M$8="OK",45&lt;=Creditos!$H$8),Creditos!$N$8,"")</f>
        <v/>
      </c>
      <c r="H170" s="48" t="str">
        <f>IF(AND(Creditos!$C$8&lt;&gt;"",Creditos!$M$8="OK",45&lt;=Creditos!$H$8),ROUND(F170*G170,2),"")</f>
        <v/>
      </c>
      <c r="I170" s="48" t="str">
        <f>IF(AND(Creditos!$C$8&lt;&gt;"",Creditos!$M$8="OK",45&lt;=Creditos!$H$8),IF(45=Creditos!$H$8,F170+H170,MIN(Creditos!$O$8,F170+H170)),"")</f>
        <v/>
      </c>
      <c r="J170" s="48" t="str">
        <f>IF(AND(Creditos!$C$8&lt;&gt;"",Creditos!$M$8="OK",45&lt;=Creditos!$H$8),MIN(F170,MAX(0,I170-H170)),"")</f>
        <v/>
      </c>
      <c r="K170" s="48" t="str">
        <f>IF(AND(Creditos!$C$8&lt;&gt;"",Creditos!$M$8="OK",45&lt;=Creditos!$H$8),Creditos!$J$8+Creditos!$K$8,"")</f>
        <v/>
      </c>
      <c r="L170" s="48" t="str">
        <f>IF(AND(Creditos!$C$8&lt;&gt;"",Creditos!$M$8="OK",45&lt;=Creditos!$H$8),I170+K170,"")</f>
        <v/>
      </c>
      <c r="M170" s="48" t="str">
        <f>IF(AND(Creditos!$C$8&lt;&gt;"",Creditos!$M$8="OK",45&lt;=Creditos!$H$8),MAX(0,F170-J170),"")</f>
        <v/>
      </c>
      <c r="N170" s="48" t="str">
        <f>IF(AND(Creditos!$C$8&lt;&gt;"",Creditos!$M$8="OK",45&lt;=Creditos!$H$8),SUMIFS(Pagos!$F$6:$F$305,Pagos!$C$6:$C$305,C170,Pagos!$D$6:$D$305,D170,Pagos!$E$6:$E$305,"&lt;="&amp;Supuestos!$D$6,Pagos!$H$6:$H$305,"OK"),"")</f>
        <v/>
      </c>
      <c r="O170" s="48" t="str">
        <f>IF(AND(Creditos!$C$8&lt;&gt;"",Creditos!$M$8="OK",45&lt;=Creditos!$H$8),MIN(J170,MAX(0,N170-K170-H170)),"")</f>
        <v/>
      </c>
      <c r="P170" s="48" t="str">
        <f>IF(AND(Creditos!$C$8&lt;&gt;"",Creditos!$M$8="OK",45&lt;=Creditos!$H$8),MAX(0,L170-N170),"")</f>
        <v/>
      </c>
      <c r="Q170" s="50" t="str">
        <f>IF(AND(Creditos!$C$8&lt;&gt;"",Creditos!$M$8="OK",45&lt;=Creditos!$H$8),IF(AND(E170&lt;Supuestos!$D$6,P170&gt;0.005),Supuestos!$D$6-E170,0),"")</f>
        <v/>
      </c>
      <c r="R170" s="48" t="str">
        <f>IF(AND(Creditos!$C$8&lt;&gt;"",Creditos!$M$8="OK",45&lt;=Creditos!$H$8),MAX(0,N170-L170),"")</f>
        <v/>
      </c>
      <c r="S170" s="46" t="str">
        <f>IF(AND(Creditos!$C$8&lt;&gt;"",Creditos!$M$8="OK",45&lt;=Creditos!$H$8),IF(R170&gt;0.005,"Exceso sin imputar",IF(P170&lt;=0.005,"Pagada",IF(E170&lt;Supuestos!$D$6,"Vencida",IF(E170=Supuestos!$D$6,"Vence hoy","Por vencer")))),"")</f>
        <v/>
      </c>
      <c r="T170" s="46">
        <f>IF(AND(Creditos!$C$8&lt;&gt;"",Creditos!$M$8="OK",45&lt;=Creditos!$H$8),IF(P170&gt;0.005,E170,999999),999999)</f>
        <v>999999</v>
      </c>
    </row>
    <row r="171" ht="25.5" customHeight="1">
      <c r="C171" s="46" t="str">
        <f>IF(AND(Creditos!$C$8&lt;&gt;"",Creditos!$M$8="OK",46&lt;=Creditos!$H$8),Creditos!$C$8,"")</f>
        <v/>
      </c>
      <c r="D171" s="46" t="str">
        <f>IF(AND(Creditos!$C$8&lt;&gt;"",Creditos!$M$8="OK",46&lt;=Creditos!$H$8),46,"")</f>
        <v/>
      </c>
      <c r="E171" s="47" t="str">
        <f>IF(AND(Creditos!$C$8&lt;&gt;"",Creditos!$M$8="OK",46&lt;=Creditos!$H$8),EDATE(Creditos!$I$8,45),"")</f>
        <v/>
      </c>
      <c r="F171" s="48" t="str">
        <f>IF(AND(Creditos!$C$8&lt;&gt;"",Creditos!$M$8="OK",46&lt;=Creditos!$H$8),M170,"")</f>
        <v/>
      </c>
      <c r="G171" s="49" t="str">
        <f>IF(AND(Creditos!$C$8&lt;&gt;"",Creditos!$M$8="OK",46&lt;=Creditos!$H$8),Creditos!$N$8,"")</f>
        <v/>
      </c>
      <c r="H171" s="48" t="str">
        <f>IF(AND(Creditos!$C$8&lt;&gt;"",Creditos!$M$8="OK",46&lt;=Creditos!$H$8),ROUND(F171*G171,2),"")</f>
        <v/>
      </c>
      <c r="I171" s="48" t="str">
        <f>IF(AND(Creditos!$C$8&lt;&gt;"",Creditos!$M$8="OK",46&lt;=Creditos!$H$8),IF(46=Creditos!$H$8,F171+H171,MIN(Creditos!$O$8,F171+H171)),"")</f>
        <v/>
      </c>
      <c r="J171" s="48" t="str">
        <f>IF(AND(Creditos!$C$8&lt;&gt;"",Creditos!$M$8="OK",46&lt;=Creditos!$H$8),MIN(F171,MAX(0,I171-H171)),"")</f>
        <v/>
      </c>
      <c r="K171" s="48" t="str">
        <f>IF(AND(Creditos!$C$8&lt;&gt;"",Creditos!$M$8="OK",46&lt;=Creditos!$H$8),Creditos!$J$8+Creditos!$K$8,"")</f>
        <v/>
      </c>
      <c r="L171" s="48" t="str">
        <f>IF(AND(Creditos!$C$8&lt;&gt;"",Creditos!$M$8="OK",46&lt;=Creditos!$H$8),I171+K171,"")</f>
        <v/>
      </c>
      <c r="M171" s="48" t="str">
        <f>IF(AND(Creditos!$C$8&lt;&gt;"",Creditos!$M$8="OK",46&lt;=Creditos!$H$8),MAX(0,F171-J171),"")</f>
        <v/>
      </c>
      <c r="N171" s="48" t="str">
        <f>IF(AND(Creditos!$C$8&lt;&gt;"",Creditos!$M$8="OK",46&lt;=Creditos!$H$8),SUMIFS(Pagos!$F$6:$F$305,Pagos!$C$6:$C$305,C171,Pagos!$D$6:$D$305,D171,Pagos!$E$6:$E$305,"&lt;="&amp;Supuestos!$D$6,Pagos!$H$6:$H$305,"OK"),"")</f>
        <v/>
      </c>
      <c r="O171" s="48" t="str">
        <f>IF(AND(Creditos!$C$8&lt;&gt;"",Creditos!$M$8="OK",46&lt;=Creditos!$H$8),MIN(J171,MAX(0,N171-K171-H171)),"")</f>
        <v/>
      </c>
      <c r="P171" s="48" t="str">
        <f>IF(AND(Creditos!$C$8&lt;&gt;"",Creditos!$M$8="OK",46&lt;=Creditos!$H$8),MAX(0,L171-N171),"")</f>
        <v/>
      </c>
      <c r="Q171" s="50" t="str">
        <f>IF(AND(Creditos!$C$8&lt;&gt;"",Creditos!$M$8="OK",46&lt;=Creditos!$H$8),IF(AND(E171&lt;Supuestos!$D$6,P171&gt;0.005),Supuestos!$D$6-E171,0),"")</f>
        <v/>
      </c>
      <c r="R171" s="48" t="str">
        <f>IF(AND(Creditos!$C$8&lt;&gt;"",Creditos!$M$8="OK",46&lt;=Creditos!$H$8),MAX(0,N171-L171),"")</f>
        <v/>
      </c>
      <c r="S171" s="46" t="str">
        <f>IF(AND(Creditos!$C$8&lt;&gt;"",Creditos!$M$8="OK",46&lt;=Creditos!$H$8),IF(R171&gt;0.005,"Exceso sin imputar",IF(P171&lt;=0.005,"Pagada",IF(E171&lt;Supuestos!$D$6,"Vencida",IF(E171=Supuestos!$D$6,"Vence hoy","Por vencer")))),"")</f>
        <v/>
      </c>
      <c r="T171" s="46">
        <f>IF(AND(Creditos!$C$8&lt;&gt;"",Creditos!$M$8="OK",46&lt;=Creditos!$H$8),IF(P171&gt;0.005,E171,999999),999999)</f>
        <v>999999</v>
      </c>
    </row>
    <row r="172" ht="25.5" customHeight="1">
      <c r="C172" s="46" t="str">
        <f>IF(AND(Creditos!$C$8&lt;&gt;"",Creditos!$M$8="OK",47&lt;=Creditos!$H$8),Creditos!$C$8,"")</f>
        <v/>
      </c>
      <c r="D172" s="46" t="str">
        <f>IF(AND(Creditos!$C$8&lt;&gt;"",Creditos!$M$8="OK",47&lt;=Creditos!$H$8),47,"")</f>
        <v/>
      </c>
      <c r="E172" s="47" t="str">
        <f>IF(AND(Creditos!$C$8&lt;&gt;"",Creditos!$M$8="OK",47&lt;=Creditos!$H$8),EDATE(Creditos!$I$8,46),"")</f>
        <v/>
      </c>
      <c r="F172" s="48" t="str">
        <f>IF(AND(Creditos!$C$8&lt;&gt;"",Creditos!$M$8="OK",47&lt;=Creditos!$H$8),M171,"")</f>
        <v/>
      </c>
      <c r="G172" s="49" t="str">
        <f>IF(AND(Creditos!$C$8&lt;&gt;"",Creditos!$M$8="OK",47&lt;=Creditos!$H$8),Creditos!$N$8,"")</f>
        <v/>
      </c>
      <c r="H172" s="48" t="str">
        <f>IF(AND(Creditos!$C$8&lt;&gt;"",Creditos!$M$8="OK",47&lt;=Creditos!$H$8),ROUND(F172*G172,2),"")</f>
        <v/>
      </c>
      <c r="I172" s="48" t="str">
        <f>IF(AND(Creditos!$C$8&lt;&gt;"",Creditos!$M$8="OK",47&lt;=Creditos!$H$8),IF(47=Creditos!$H$8,F172+H172,MIN(Creditos!$O$8,F172+H172)),"")</f>
        <v/>
      </c>
      <c r="J172" s="48" t="str">
        <f>IF(AND(Creditos!$C$8&lt;&gt;"",Creditos!$M$8="OK",47&lt;=Creditos!$H$8),MIN(F172,MAX(0,I172-H172)),"")</f>
        <v/>
      </c>
      <c r="K172" s="48" t="str">
        <f>IF(AND(Creditos!$C$8&lt;&gt;"",Creditos!$M$8="OK",47&lt;=Creditos!$H$8),Creditos!$J$8+Creditos!$K$8,"")</f>
        <v/>
      </c>
      <c r="L172" s="48" t="str">
        <f>IF(AND(Creditos!$C$8&lt;&gt;"",Creditos!$M$8="OK",47&lt;=Creditos!$H$8),I172+K172,"")</f>
        <v/>
      </c>
      <c r="M172" s="48" t="str">
        <f>IF(AND(Creditos!$C$8&lt;&gt;"",Creditos!$M$8="OK",47&lt;=Creditos!$H$8),MAX(0,F172-J172),"")</f>
        <v/>
      </c>
      <c r="N172" s="48" t="str">
        <f>IF(AND(Creditos!$C$8&lt;&gt;"",Creditos!$M$8="OK",47&lt;=Creditos!$H$8),SUMIFS(Pagos!$F$6:$F$305,Pagos!$C$6:$C$305,C172,Pagos!$D$6:$D$305,D172,Pagos!$E$6:$E$305,"&lt;="&amp;Supuestos!$D$6,Pagos!$H$6:$H$305,"OK"),"")</f>
        <v/>
      </c>
      <c r="O172" s="48" t="str">
        <f>IF(AND(Creditos!$C$8&lt;&gt;"",Creditos!$M$8="OK",47&lt;=Creditos!$H$8),MIN(J172,MAX(0,N172-K172-H172)),"")</f>
        <v/>
      </c>
      <c r="P172" s="48" t="str">
        <f>IF(AND(Creditos!$C$8&lt;&gt;"",Creditos!$M$8="OK",47&lt;=Creditos!$H$8),MAX(0,L172-N172),"")</f>
        <v/>
      </c>
      <c r="Q172" s="50" t="str">
        <f>IF(AND(Creditos!$C$8&lt;&gt;"",Creditos!$M$8="OK",47&lt;=Creditos!$H$8),IF(AND(E172&lt;Supuestos!$D$6,P172&gt;0.005),Supuestos!$D$6-E172,0),"")</f>
        <v/>
      </c>
      <c r="R172" s="48" t="str">
        <f>IF(AND(Creditos!$C$8&lt;&gt;"",Creditos!$M$8="OK",47&lt;=Creditos!$H$8),MAX(0,N172-L172),"")</f>
        <v/>
      </c>
      <c r="S172" s="46" t="str">
        <f>IF(AND(Creditos!$C$8&lt;&gt;"",Creditos!$M$8="OK",47&lt;=Creditos!$H$8),IF(R172&gt;0.005,"Exceso sin imputar",IF(P172&lt;=0.005,"Pagada",IF(E172&lt;Supuestos!$D$6,"Vencida",IF(E172=Supuestos!$D$6,"Vence hoy","Por vencer")))),"")</f>
        <v/>
      </c>
      <c r="T172" s="46">
        <f>IF(AND(Creditos!$C$8&lt;&gt;"",Creditos!$M$8="OK",47&lt;=Creditos!$H$8),IF(P172&gt;0.005,E172,999999),999999)</f>
        <v>999999</v>
      </c>
    </row>
    <row r="173" ht="25.5" customHeight="1">
      <c r="C173" s="46" t="str">
        <f>IF(AND(Creditos!$C$8&lt;&gt;"",Creditos!$M$8="OK",48&lt;=Creditos!$H$8),Creditos!$C$8,"")</f>
        <v/>
      </c>
      <c r="D173" s="46" t="str">
        <f>IF(AND(Creditos!$C$8&lt;&gt;"",Creditos!$M$8="OK",48&lt;=Creditos!$H$8),48,"")</f>
        <v/>
      </c>
      <c r="E173" s="47" t="str">
        <f>IF(AND(Creditos!$C$8&lt;&gt;"",Creditos!$M$8="OK",48&lt;=Creditos!$H$8),EDATE(Creditos!$I$8,47),"")</f>
        <v/>
      </c>
      <c r="F173" s="48" t="str">
        <f>IF(AND(Creditos!$C$8&lt;&gt;"",Creditos!$M$8="OK",48&lt;=Creditos!$H$8),M172,"")</f>
        <v/>
      </c>
      <c r="G173" s="49" t="str">
        <f>IF(AND(Creditos!$C$8&lt;&gt;"",Creditos!$M$8="OK",48&lt;=Creditos!$H$8),Creditos!$N$8,"")</f>
        <v/>
      </c>
      <c r="H173" s="48" t="str">
        <f>IF(AND(Creditos!$C$8&lt;&gt;"",Creditos!$M$8="OK",48&lt;=Creditos!$H$8),ROUND(F173*G173,2),"")</f>
        <v/>
      </c>
      <c r="I173" s="48" t="str">
        <f>IF(AND(Creditos!$C$8&lt;&gt;"",Creditos!$M$8="OK",48&lt;=Creditos!$H$8),IF(48=Creditos!$H$8,F173+H173,MIN(Creditos!$O$8,F173+H173)),"")</f>
        <v/>
      </c>
      <c r="J173" s="48" t="str">
        <f>IF(AND(Creditos!$C$8&lt;&gt;"",Creditos!$M$8="OK",48&lt;=Creditos!$H$8),MIN(F173,MAX(0,I173-H173)),"")</f>
        <v/>
      </c>
      <c r="K173" s="48" t="str">
        <f>IF(AND(Creditos!$C$8&lt;&gt;"",Creditos!$M$8="OK",48&lt;=Creditos!$H$8),Creditos!$J$8+Creditos!$K$8,"")</f>
        <v/>
      </c>
      <c r="L173" s="48" t="str">
        <f>IF(AND(Creditos!$C$8&lt;&gt;"",Creditos!$M$8="OK",48&lt;=Creditos!$H$8),I173+K173,"")</f>
        <v/>
      </c>
      <c r="M173" s="48" t="str">
        <f>IF(AND(Creditos!$C$8&lt;&gt;"",Creditos!$M$8="OK",48&lt;=Creditos!$H$8),MAX(0,F173-J173),"")</f>
        <v/>
      </c>
      <c r="N173" s="48" t="str">
        <f>IF(AND(Creditos!$C$8&lt;&gt;"",Creditos!$M$8="OK",48&lt;=Creditos!$H$8),SUMIFS(Pagos!$F$6:$F$305,Pagos!$C$6:$C$305,C173,Pagos!$D$6:$D$305,D173,Pagos!$E$6:$E$305,"&lt;="&amp;Supuestos!$D$6,Pagos!$H$6:$H$305,"OK"),"")</f>
        <v/>
      </c>
      <c r="O173" s="48" t="str">
        <f>IF(AND(Creditos!$C$8&lt;&gt;"",Creditos!$M$8="OK",48&lt;=Creditos!$H$8),MIN(J173,MAX(0,N173-K173-H173)),"")</f>
        <v/>
      </c>
      <c r="P173" s="48" t="str">
        <f>IF(AND(Creditos!$C$8&lt;&gt;"",Creditos!$M$8="OK",48&lt;=Creditos!$H$8),MAX(0,L173-N173),"")</f>
        <v/>
      </c>
      <c r="Q173" s="50" t="str">
        <f>IF(AND(Creditos!$C$8&lt;&gt;"",Creditos!$M$8="OK",48&lt;=Creditos!$H$8),IF(AND(E173&lt;Supuestos!$D$6,P173&gt;0.005),Supuestos!$D$6-E173,0),"")</f>
        <v/>
      </c>
      <c r="R173" s="48" t="str">
        <f>IF(AND(Creditos!$C$8&lt;&gt;"",Creditos!$M$8="OK",48&lt;=Creditos!$H$8),MAX(0,N173-L173),"")</f>
        <v/>
      </c>
      <c r="S173" s="46" t="str">
        <f>IF(AND(Creditos!$C$8&lt;&gt;"",Creditos!$M$8="OK",48&lt;=Creditos!$H$8),IF(R173&gt;0.005,"Exceso sin imputar",IF(P173&lt;=0.005,"Pagada",IF(E173&lt;Supuestos!$D$6,"Vencida",IF(E173=Supuestos!$D$6,"Vence hoy","Por vencer")))),"")</f>
        <v/>
      </c>
      <c r="T173" s="46">
        <f>IF(AND(Creditos!$C$8&lt;&gt;"",Creditos!$M$8="OK",48&lt;=Creditos!$H$8),IF(P173&gt;0.005,E173,999999),999999)</f>
        <v>999999</v>
      </c>
    </row>
    <row r="174" ht="25.5" customHeight="1">
      <c r="C174" s="46" t="str">
        <f>IF(AND(Creditos!$C$8&lt;&gt;"",Creditos!$M$8="OK",49&lt;=Creditos!$H$8),Creditos!$C$8,"")</f>
        <v/>
      </c>
      <c r="D174" s="46" t="str">
        <f>IF(AND(Creditos!$C$8&lt;&gt;"",Creditos!$M$8="OK",49&lt;=Creditos!$H$8),49,"")</f>
        <v/>
      </c>
      <c r="E174" s="47" t="str">
        <f>IF(AND(Creditos!$C$8&lt;&gt;"",Creditos!$M$8="OK",49&lt;=Creditos!$H$8),EDATE(Creditos!$I$8,48),"")</f>
        <v/>
      </c>
      <c r="F174" s="48" t="str">
        <f>IF(AND(Creditos!$C$8&lt;&gt;"",Creditos!$M$8="OK",49&lt;=Creditos!$H$8),M173,"")</f>
        <v/>
      </c>
      <c r="G174" s="49" t="str">
        <f>IF(AND(Creditos!$C$8&lt;&gt;"",Creditos!$M$8="OK",49&lt;=Creditos!$H$8),Creditos!$N$8,"")</f>
        <v/>
      </c>
      <c r="H174" s="48" t="str">
        <f>IF(AND(Creditos!$C$8&lt;&gt;"",Creditos!$M$8="OK",49&lt;=Creditos!$H$8),ROUND(F174*G174,2),"")</f>
        <v/>
      </c>
      <c r="I174" s="48" t="str">
        <f>IF(AND(Creditos!$C$8&lt;&gt;"",Creditos!$M$8="OK",49&lt;=Creditos!$H$8),IF(49=Creditos!$H$8,F174+H174,MIN(Creditos!$O$8,F174+H174)),"")</f>
        <v/>
      </c>
      <c r="J174" s="48" t="str">
        <f>IF(AND(Creditos!$C$8&lt;&gt;"",Creditos!$M$8="OK",49&lt;=Creditos!$H$8),MIN(F174,MAX(0,I174-H174)),"")</f>
        <v/>
      </c>
      <c r="K174" s="48" t="str">
        <f>IF(AND(Creditos!$C$8&lt;&gt;"",Creditos!$M$8="OK",49&lt;=Creditos!$H$8),Creditos!$J$8+Creditos!$K$8,"")</f>
        <v/>
      </c>
      <c r="L174" s="48" t="str">
        <f>IF(AND(Creditos!$C$8&lt;&gt;"",Creditos!$M$8="OK",49&lt;=Creditos!$H$8),I174+K174,"")</f>
        <v/>
      </c>
      <c r="M174" s="48" t="str">
        <f>IF(AND(Creditos!$C$8&lt;&gt;"",Creditos!$M$8="OK",49&lt;=Creditos!$H$8),MAX(0,F174-J174),"")</f>
        <v/>
      </c>
      <c r="N174" s="48" t="str">
        <f>IF(AND(Creditos!$C$8&lt;&gt;"",Creditos!$M$8="OK",49&lt;=Creditos!$H$8),SUMIFS(Pagos!$F$6:$F$305,Pagos!$C$6:$C$305,C174,Pagos!$D$6:$D$305,D174,Pagos!$E$6:$E$305,"&lt;="&amp;Supuestos!$D$6,Pagos!$H$6:$H$305,"OK"),"")</f>
        <v/>
      </c>
      <c r="O174" s="48" t="str">
        <f>IF(AND(Creditos!$C$8&lt;&gt;"",Creditos!$M$8="OK",49&lt;=Creditos!$H$8),MIN(J174,MAX(0,N174-K174-H174)),"")</f>
        <v/>
      </c>
      <c r="P174" s="48" t="str">
        <f>IF(AND(Creditos!$C$8&lt;&gt;"",Creditos!$M$8="OK",49&lt;=Creditos!$H$8),MAX(0,L174-N174),"")</f>
        <v/>
      </c>
      <c r="Q174" s="50" t="str">
        <f>IF(AND(Creditos!$C$8&lt;&gt;"",Creditos!$M$8="OK",49&lt;=Creditos!$H$8),IF(AND(E174&lt;Supuestos!$D$6,P174&gt;0.005),Supuestos!$D$6-E174,0),"")</f>
        <v/>
      </c>
      <c r="R174" s="48" t="str">
        <f>IF(AND(Creditos!$C$8&lt;&gt;"",Creditos!$M$8="OK",49&lt;=Creditos!$H$8),MAX(0,N174-L174),"")</f>
        <v/>
      </c>
      <c r="S174" s="46" t="str">
        <f>IF(AND(Creditos!$C$8&lt;&gt;"",Creditos!$M$8="OK",49&lt;=Creditos!$H$8),IF(R174&gt;0.005,"Exceso sin imputar",IF(P174&lt;=0.005,"Pagada",IF(E174&lt;Supuestos!$D$6,"Vencida",IF(E174=Supuestos!$D$6,"Vence hoy","Por vencer")))),"")</f>
        <v/>
      </c>
      <c r="T174" s="46">
        <f>IF(AND(Creditos!$C$8&lt;&gt;"",Creditos!$M$8="OK",49&lt;=Creditos!$H$8),IF(P174&gt;0.005,E174,999999),999999)</f>
        <v>999999</v>
      </c>
    </row>
    <row r="175" ht="25.5" customHeight="1">
      <c r="C175" s="46" t="str">
        <f>IF(AND(Creditos!$C$8&lt;&gt;"",Creditos!$M$8="OK",50&lt;=Creditos!$H$8),Creditos!$C$8,"")</f>
        <v/>
      </c>
      <c r="D175" s="46" t="str">
        <f>IF(AND(Creditos!$C$8&lt;&gt;"",Creditos!$M$8="OK",50&lt;=Creditos!$H$8),50,"")</f>
        <v/>
      </c>
      <c r="E175" s="47" t="str">
        <f>IF(AND(Creditos!$C$8&lt;&gt;"",Creditos!$M$8="OK",50&lt;=Creditos!$H$8),EDATE(Creditos!$I$8,49),"")</f>
        <v/>
      </c>
      <c r="F175" s="48" t="str">
        <f>IF(AND(Creditos!$C$8&lt;&gt;"",Creditos!$M$8="OK",50&lt;=Creditos!$H$8),M174,"")</f>
        <v/>
      </c>
      <c r="G175" s="49" t="str">
        <f>IF(AND(Creditos!$C$8&lt;&gt;"",Creditos!$M$8="OK",50&lt;=Creditos!$H$8),Creditos!$N$8,"")</f>
        <v/>
      </c>
      <c r="H175" s="48" t="str">
        <f>IF(AND(Creditos!$C$8&lt;&gt;"",Creditos!$M$8="OK",50&lt;=Creditos!$H$8),ROUND(F175*G175,2),"")</f>
        <v/>
      </c>
      <c r="I175" s="48" t="str">
        <f>IF(AND(Creditos!$C$8&lt;&gt;"",Creditos!$M$8="OK",50&lt;=Creditos!$H$8),IF(50=Creditos!$H$8,F175+H175,MIN(Creditos!$O$8,F175+H175)),"")</f>
        <v/>
      </c>
      <c r="J175" s="48" t="str">
        <f>IF(AND(Creditos!$C$8&lt;&gt;"",Creditos!$M$8="OK",50&lt;=Creditos!$H$8),MIN(F175,MAX(0,I175-H175)),"")</f>
        <v/>
      </c>
      <c r="K175" s="48" t="str">
        <f>IF(AND(Creditos!$C$8&lt;&gt;"",Creditos!$M$8="OK",50&lt;=Creditos!$H$8),Creditos!$J$8+Creditos!$K$8,"")</f>
        <v/>
      </c>
      <c r="L175" s="48" t="str">
        <f>IF(AND(Creditos!$C$8&lt;&gt;"",Creditos!$M$8="OK",50&lt;=Creditos!$H$8),I175+K175,"")</f>
        <v/>
      </c>
      <c r="M175" s="48" t="str">
        <f>IF(AND(Creditos!$C$8&lt;&gt;"",Creditos!$M$8="OK",50&lt;=Creditos!$H$8),MAX(0,F175-J175),"")</f>
        <v/>
      </c>
      <c r="N175" s="48" t="str">
        <f>IF(AND(Creditos!$C$8&lt;&gt;"",Creditos!$M$8="OK",50&lt;=Creditos!$H$8),SUMIFS(Pagos!$F$6:$F$305,Pagos!$C$6:$C$305,C175,Pagos!$D$6:$D$305,D175,Pagos!$E$6:$E$305,"&lt;="&amp;Supuestos!$D$6,Pagos!$H$6:$H$305,"OK"),"")</f>
        <v/>
      </c>
      <c r="O175" s="48" t="str">
        <f>IF(AND(Creditos!$C$8&lt;&gt;"",Creditos!$M$8="OK",50&lt;=Creditos!$H$8),MIN(J175,MAX(0,N175-K175-H175)),"")</f>
        <v/>
      </c>
      <c r="P175" s="48" t="str">
        <f>IF(AND(Creditos!$C$8&lt;&gt;"",Creditos!$M$8="OK",50&lt;=Creditos!$H$8),MAX(0,L175-N175),"")</f>
        <v/>
      </c>
      <c r="Q175" s="50" t="str">
        <f>IF(AND(Creditos!$C$8&lt;&gt;"",Creditos!$M$8="OK",50&lt;=Creditos!$H$8),IF(AND(E175&lt;Supuestos!$D$6,P175&gt;0.005),Supuestos!$D$6-E175,0),"")</f>
        <v/>
      </c>
      <c r="R175" s="48" t="str">
        <f>IF(AND(Creditos!$C$8&lt;&gt;"",Creditos!$M$8="OK",50&lt;=Creditos!$H$8),MAX(0,N175-L175),"")</f>
        <v/>
      </c>
      <c r="S175" s="46" t="str">
        <f>IF(AND(Creditos!$C$8&lt;&gt;"",Creditos!$M$8="OK",50&lt;=Creditos!$H$8),IF(R175&gt;0.005,"Exceso sin imputar",IF(P175&lt;=0.005,"Pagada",IF(E175&lt;Supuestos!$D$6,"Vencida",IF(E175=Supuestos!$D$6,"Vence hoy","Por vencer")))),"")</f>
        <v/>
      </c>
      <c r="T175" s="46">
        <f>IF(AND(Creditos!$C$8&lt;&gt;"",Creditos!$M$8="OK",50&lt;=Creditos!$H$8),IF(P175&gt;0.005,E175,999999),999999)</f>
        <v>999999</v>
      </c>
    </row>
    <row r="176" ht="25.5" customHeight="1">
      <c r="C176" s="46" t="str">
        <f>IF(AND(Creditos!$C$8&lt;&gt;"",Creditos!$M$8="OK",51&lt;=Creditos!$H$8),Creditos!$C$8,"")</f>
        <v/>
      </c>
      <c r="D176" s="46" t="str">
        <f>IF(AND(Creditos!$C$8&lt;&gt;"",Creditos!$M$8="OK",51&lt;=Creditos!$H$8),51,"")</f>
        <v/>
      </c>
      <c r="E176" s="47" t="str">
        <f>IF(AND(Creditos!$C$8&lt;&gt;"",Creditos!$M$8="OK",51&lt;=Creditos!$H$8),EDATE(Creditos!$I$8,50),"")</f>
        <v/>
      </c>
      <c r="F176" s="48" t="str">
        <f>IF(AND(Creditos!$C$8&lt;&gt;"",Creditos!$M$8="OK",51&lt;=Creditos!$H$8),M175,"")</f>
        <v/>
      </c>
      <c r="G176" s="49" t="str">
        <f>IF(AND(Creditos!$C$8&lt;&gt;"",Creditos!$M$8="OK",51&lt;=Creditos!$H$8),Creditos!$N$8,"")</f>
        <v/>
      </c>
      <c r="H176" s="48" t="str">
        <f>IF(AND(Creditos!$C$8&lt;&gt;"",Creditos!$M$8="OK",51&lt;=Creditos!$H$8),ROUND(F176*G176,2),"")</f>
        <v/>
      </c>
      <c r="I176" s="48" t="str">
        <f>IF(AND(Creditos!$C$8&lt;&gt;"",Creditos!$M$8="OK",51&lt;=Creditos!$H$8),IF(51=Creditos!$H$8,F176+H176,MIN(Creditos!$O$8,F176+H176)),"")</f>
        <v/>
      </c>
      <c r="J176" s="48" t="str">
        <f>IF(AND(Creditos!$C$8&lt;&gt;"",Creditos!$M$8="OK",51&lt;=Creditos!$H$8),MIN(F176,MAX(0,I176-H176)),"")</f>
        <v/>
      </c>
      <c r="K176" s="48" t="str">
        <f>IF(AND(Creditos!$C$8&lt;&gt;"",Creditos!$M$8="OK",51&lt;=Creditos!$H$8),Creditos!$J$8+Creditos!$K$8,"")</f>
        <v/>
      </c>
      <c r="L176" s="48" t="str">
        <f>IF(AND(Creditos!$C$8&lt;&gt;"",Creditos!$M$8="OK",51&lt;=Creditos!$H$8),I176+K176,"")</f>
        <v/>
      </c>
      <c r="M176" s="48" t="str">
        <f>IF(AND(Creditos!$C$8&lt;&gt;"",Creditos!$M$8="OK",51&lt;=Creditos!$H$8),MAX(0,F176-J176),"")</f>
        <v/>
      </c>
      <c r="N176" s="48" t="str">
        <f>IF(AND(Creditos!$C$8&lt;&gt;"",Creditos!$M$8="OK",51&lt;=Creditos!$H$8),SUMIFS(Pagos!$F$6:$F$305,Pagos!$C$6:$C$305,C176,Pagos!$D$6:$D$305,D176,Pagos!$E$6:$E$305,"&lt;="&amp;Supuestos!$D$6,Pagos!$H$6:$H$305,"OK"),"")</f>
        <v/>
      </c>
      <c r="O176" s="48" t="str">
        <f>IF(AND(Creditos!$C$8&lt;&gt;"",Creditos!$M$8="OK",51&lt;=Creditos!$H$8),MIN(J176,MAX(0,N176-K176-H176)),"")</f>
        <v/>
      </c>
      <c r="P176" s="48" t="str">
        <f>IF(AND(Creditos!$C$8&lt;&gt;"",Creditos!$M$8="OK",51&lt;=Creditos!$H$8),MAX(0,L176-N176),"")</f>
        <v/>
      </c>
      <c r="Q176" s="50" t="str">
        <f>IF(AND(Creditos!$C$8&lt;&gt;"",Creditos!$M$8="OK",51&lt;=Creditos!$H$8),IF(AND(E176&lt;Supuestos!$D$6,P176&gt;0.005),Supuestos!$D$6-E176,0),"")</f>
        <v/>
      </c>
      <c r="R176" s="48" t="str">
        <f>IF(AND(Creditos!$C$8&lt;&gt;"",Creditos!$M$8="OK",51&lt;=Creditos!$H$8),MAX(0,N176-L176),"")</f>
        <v/>
      </c>
      <c r="S176" s="46" t="str">
        <f>IF(AND(Creditos!$C$8&lt;&gt;"",Creditos!$M$8="OK",51&lt;=Creditos!$H$8),IF(R176&gt;0.005,"Exceso sin imputar",IF(P176&lt;=0.005,"Pagada",IF(E176&lt;Supuestos!$D$6,"Vencida",IF(E176=Supuestos!$D$6,"Vence hoy","Por vencer")))),"")</f>
        <v/>
      </c>
      <c r="T176" s="46">
        <f>IF(AND(Creditos!$C$8&lt;&gt;"",Creditos!$M$8="OK",51&lt;=Creditos!$H$8),IF(P176&gt;0.005,E176,999999),999999)</f>
        <v>999999</v>
      </c>
    </row>
    <row r="177" ht="25.5" customHeight="1">
      <c r="C177" s="46" t="str">
        <f>IF(AND(Creditos!$C$8&lt;&gt;"",Creditos!$M$8="OK",52&lt;=Creditos!$H$8),Creditos!$C$8,"")</f>
        <v/>
      </c>
      <c r="D177" s="46" t="str">
        <f>IF(AND(Creditos!$C$8&lt;&gt;"",Creditos!$M$8="OK",52&lt;=Creditos!$H$8),52,"")</f>
        <v/>
      </c>
      <c r="E177" s="47" t="str">
        <f>IF(AND(Creditos!$C$8&lt;&gt;"",Creditos!$M$8="OK",52&lt;=Creditos!$H$8),EDATE(Creditos!$I$8,51),"")</f>
        <v/>
      </c>
      <c r="F177" s="48" t="str">
        <f>IF(AND(Creditos!$C$8&lt;&gt;"",Creditos!$M$8="OK",52&lt;=Creditos!$H$8),M176,"")</f>
        <v/>
      </c>
      <c r="G177" s="49" t="str">
        <f>IF(AND(Creditos!$C$8&lt;&gt;"",Creditos!$M$8="OK",52&lt;=Creditos!$H$8),Creditos!$N$8,"")</f>
        <v/>
      </c>
      <c r="H177" s="48" t="str">
        <f>IF(AND(Creditos!$C$8&lt;&gt;"",Creditos!$M$8="OK",52&lt;=Creditos!$H$8),ROUND(F177*G177,2),"")</f>
        <v/>
      </c>
      <c r="I177" s="48" t="str">
        <f>IF(AND(Creditos!$C$8&lt;&gt;"",Creditos!$M$8="OK",52&lt;=Creditos!$H$8),IF(52=Creditos!$H$8,F177+H177,MIN(Creditos!$O$8,F177+H177)),"")</f>
        <v/>
      </c>
      <c r="J177" s="48" t="str">
        <f>IF(AND(Creditos!$C$8&lt;&gt;"",Creditos!$M$8="OK",52&lt;=Creditos!$H$8),MIN(F177,MAX(0,I177-H177)),"")</f>
        <v/>
      </c>
      <c r="K177" s="48" t="str">
        <f>IF(AND(Creditos!$C$8&lt;&gt;"",Creditos!$M$8="OK",52&lt;=Creditos!$H$8),Creditos!$J$8+Creditos!$K$8,"")</f>
        <v/>
      </c>
      <c r="L177" s="48" t="str">
        <f>IF(AND(Creditos!$C$8&lt;&gt;"",Creditos!$M$8="OK",52&lt;=Creditos!$H$8),I177+K177,"")</f>
        <v/>
      </c>
      <c r="M177" s="48" t="str">
        <f>IF(AND(Creditos!$C$8&lt;&gt;"",Creditos!$M$8="OK",52&lt;=Creditos!$H$8),MAX(0,F177-J177),"")</f>
        <v/>
      </c>
      <c r="N177" s="48" t="str">
        <f>IF(AND(Creditos!$C$8&lt;&gt;"",Creditos!$M$8="OK",52&lt;=Creditos!$H$8),SUMIFS(Pagos!$F$6:$F$305,Pagos!$C$6:$C$305,C177,Pagos!$D$6:$D$305,D177,Pagos!$E$6:$E$305,"&lt;="&amp;Supuestos!$D$6,Pagos!$H$6:$H$305,"OK"),"")</f>
        <v/>
      </c>
      <c r="O177" s="48" t="str">
        <f>IF(AND(Creditos!$C$8&lt;&gt;"",Creditos!$M$8="OK",52&lt;=Creditos!$H$8),MIN(J177,MAX(0,N177-K177-H177)),"")</f>
        <v/>
      </c>
      <c r="P177" s="48" t="str">
        <f>IF(AND(Creditos!$C$8&lt;&gt;"",Creditos!$M$8="OK",52&lt;=Creditos!$H$8),MAX(0,L177-N177),"")</f>
        <v/>
      </c>
      <c r="Q177" s="50" t="str">
        <f>IF(AND(Creditos!$C$8&lt;&gt;"",Creditos!$M$8="OK",52&lt;=Creditos!$H$8),IF(AND(E177&lt;Supuestos!$D$6,P177&gt;0.005),Supuestos!$D$6-E177,0),"")</f>
        <v/>
      </c>
      <c r="R177" s="48" t="str">
        <f>IF(AND(Creditos!$C$8&lt;&gt;"",Creditos!$M$8="OK",52&lt;=Creditos!$H$8),MAX(0,N177-L177),"")</f>
        <v/>
      </c>
      <c r="S177" s="46" t="str">
        <f>IF(AND(Creditos!$C$8&lt;&gt;"",Creditos!$M$8="OK",52&lt;=Creditos!$H$8),IF(R177&gt;0.005,"Exceso sin imputar",IF(P177&lt;=0.005,"Pagada",IF(E177&lt;Supuestos!$D$6,"Vencida",IF(E177=Supuestos!$D$6,"Vence hoy","Por vencer")))),"")</f>
        <v/>
      </c>
      <c r="T177" s="46">
        <f>IF(AND(Creditos!$C$8&lt;&gt;"",Creditos!$M$8="OK",52&lt;=Creditos!$H$8),IF(P177&gt;0.005,E177,999999),999999)</f>
        <v>999999</v>
      </c>
    </row>
    <row r="178" ht="25.5" customHeight="1">
      <c r="C178" s="46" t="str">
        <f>IF(AND(Creditos!$C$8&lt;&gt;"",Creditos!$M$8="OK",53&lt;=Creditos!$H$8),Creditos!$C$8,"")</f>
        <v/>
      </c>
      <c r="D178" s="46" t="str">
        <f>IF(AND(Creditos!$C$8&lt;&gt;"",Creditos!$M$8="OK",53&lt;=Creditos!$H$8),53,"")</f>
        <v/>
      </c>
      <c r="E178" s="47" t="str">
        <f>IF(AND(Creditos!$C$8&lt;&gt;"",Creditos!$M$8="OK",53&lt;=Creditos!$H$8),EDATE(Creditos!$I$8,52),"")</f>
        <v/>
      </c>
      <c r="F178" s="48" t="str">
        <f>IF(AND(Creditos!$C$8&lt;&gt;"",Creditos!$M$8="OK",53&lt;=Creditos!$H$8),M177,"")</f>
        <v/>
      </c>
      <c r="G178" s="49" t="str">
        <f>IF(AND(Creditos!$C$8&lt;&gt;"",Creditos!$M$8="OK",53&lt;=Creditos!$H$8),Creditos!$N$8,"")</f>
        <v/>
      </c>
      <c r="H178" s="48" t="str">
        <f>IF(AND(Creditos!$C$8&lt;&gt;"",Creditos!$M$8="OK",53&lt;=Creditos!$H$8),ROUND(F178*G178,2),"")</f>
        <v/>
      </c>
      <c r="I178" s="48" t="str">
        <f>IF(AND(Creditos!$C$8&lt;&gt;"",Creditos!$M$8="OK",53&lt;=Creditos!$H$8),IF(53=Creditos!$H$8,F178+H178,MIN(Creditos!$O$8,F178+H178)),"")</f>
        <v/>
      </c>
      <c r="J178" s="48" t="str">
        <f>IF(AND(Creditos!$C$8&lt;&gt;"",Creditos!$M$8="OK",53&lt;=Creditos!$H$8),MIN(F178,MAX(0,I178-H178)),"")</f>
        <v/>
      </c>
      <c r="K178" s="48" t="str">
        <f>IF(AND(Creditos!$C$8&lt;&gt;"",Creditos!$M$8="OK",53&lt;=Creditos!$H$8),Creditos!$J$8+Creditos!$K$8,"")</f>
        <v/>
      </c>
      <c r="L178" s="48" t="str">
        <f>IF(AND(Creditos!$C$8&lt;&gt;"",Creditos!$M$8="OK",53&lt;=Creditos!$H$8),I178+K178,"")</f>
        <v/>
      </c>
      <c r="M178" s="48" t="str">
        <f>IF(AND(Creditos!$C$8&lt;&gt;"",Creditos!$M$8="OK",53&lt;=Creditos!$H$8),MAX(0,F178-J178),"")</f>
        <v/>
      </c>
      <c r="N178" s="48" t="str">
        <f>IF(AND(Creditos!$C$8&lt;&gt;"",Creditos!$M$8="OK",53&lt;=Creditos!$H$8),SUMIFS(Pagos!$F$6:$F$305,Pagos!$C$6:$C$305,C178,Pagos!$D$6:$D$305,D178,Pagos!$E$6:$E$305,"&lt;="&amp;Supuestos!$D$6,Pagos!$H$6:$H$305,"OK"),"")</f>
        <v/>
      </c>
      <c r="O178" s="48" t="str">
        <f>IF(AND(Creditos!$C$8&lt;&gt;"",Creditos!$M$8="OK",53&lt;=Creditos!$H$8),MIN(J178,MAX(0,N178-K178-H178)),"")</f>
        <v/>
      </c>
      <c r="P178" s="48" t="str">
        <f>IF(AND(Creditos!$C$8&lt;&gt;"",Creditos!$M$8="OK",53&lt;=Creditos!$H$8),MAX(0,L178-N178),"")</f>
        <v/>
      </c>
      <c r="Q178" s="50" t="str">
        <f>IF(AND(Creditos!$C$8&lt;&gt;"",Creditos!$M$8="OK",53&lt;=Creditos!$H$8),IF(AND(E178&lt;Supuestos!$D$6,P178&gt;0.005),Supuestos!$D$6-E178,0),"")</f>
        <v/>
      </c>
      <c r="R178" s="48" t="str">
        <f>IF(AND(Creditos!$C$8&lt;&gt;"",Creditos!$M$8="OK",53&lt;=Creditos!$H$8),MAX(0,N178-L178),"")</f>
        <v/>
      </c>
      <c r="S178" s="46" t="str">
        <f>IF(AND(Creditos!$C$8&lt;&gt;"",Creditos!$M$8="OK",53&lt;=Creditos!$H$8),IF(R178&gt;0.005,"Exceso sin imputar",IF(P178&lt;=0.005,"Pagada",IF(E178&lt;Supuestos!$D$6,"Vencida",IF(E178=Supuestos!$D$6,"Vence hoy","Por vencer")))),"")</f>
        <v/>
      </c>
      <c r="T178" s="46">
        <f>IF(AND(Creditos!$C$8&lt;&gt;"",Creditos!$M$8="OK",53&lt;=Creditos!$H$8),IF(P178&gt;0.005,E178,999999),999999)</f>
        <v>999999</v>
      </c>
    </row>
    <row r="179" ht="25.5" customHeight="1">
      <c r="C179" s="46" t="str">
        <f>IF(AND(Creditos!$C$8&lt;&gt;"",Creditos!$M$8="OK",54&lt;=Creditos!$H$8),Creditos!$C$8,"")</f>
        <v/>
      </c>
      <c r="D179" s="46" t="str">
        <f>IF(AND(Creditos!$C$8&lt;&gt;"",Creditos!$M$8="OK",54&lt;=Creditos!$H$8),54,"")</f>
        <v/>
      </c>
      <c r="E179" s="47" t="str">
        <f>IF(AND(Creditos!$C$8&lt;&gt;"",Creditos!$M$8="OK",54&lt;=Creditos!$H$8),EDATE(Creditos!$I$8,53),"")</f>
        <v/>
      </c>
      <c r="F179" s="48" t="str">
        <f>IF(AND(Creditos!$C$8&lt;&gt;"",Creditos!$M$8="OK",54&lt;=Creditos!$H$8),M178,"")</f>
        <v/>
      </c>
      <c r="G179" s="49" t="str">
        <f>IF(AND(Creditos!$C$8&lt;&gt;"",Creditos!$M$8="OK",54&lt;=Creditos!$H$8),Creditos!$N$8,"")</f>
        <v/>
      </c>
      <c r="H179" s="48" t="str">
        <f>IF(AND(Creditos!$C$8&lt;&gt;"",Creditos!$M$8="OK",54&lt;=Creditos!$H$8),ROUND(F179*G179,2),"")</f>
        <v/>
      </c>
      <c r="I179" s="48" t="str">
        <f>IF(AND(Creditos!$C$8&lt;&gt;"",Creditos!$M$8="OK",54&lt;=Creditos!$H$8),IF(54=Creditos!$H$8,F179+H179,MIN(Creditos!$O$8,F179+H179)),"")</f>
        <v/>
      </c>
      <c r="J179" s="48" t="str">
        <f>IF(AND(Creditos!$C$8&lt;&gt;"",Creditos!$M$8="OK",54&lt;=Creditos!$H$8),MIN(F179,MAX(0,I179-H179)),"")</f>
        <v/>
      </c>
      <c r="K179" s="48" t="str">
        <f>IF(AND(Creditos!$C$8&lt;&gt;"",Creditos!$M$8="OK",54&lt;=Creditos!$H$8),Creditos!$J$8+Creditos!$K$8,"")</f>
        <v/>
      </c>
      <c r="L179" s="48" t="str">
        <f>IF(AND(Creditos!$C$8&lt;&gt;"",Creditos!$M$8="OK",54&lt;=Creditos!$H$8),I179+K179,"")</f>
        <v/>
      </c>
      <c r="M179" s="48" t="str">
        <f>IF(AND(Creditos!$C$8&lt;&gt;"",Creditos!$M$8="OK",54&lt;=Creditos!$H$8),MAX(0,F179-J179),"")</f>
        <v/>
      </c>
      <c r="N179" s="48" t="str">
        <f>IF(AND(Creditos!$C$8&lt;&gt;"",Creditos!$M$8="OK",54&lt;=Creditos!$H$8),SUMIFS(Pagos!$F$6:$F$305,Pagos!$C$6:$C$305,C179,Pagos!$D$6:$D$305,D179,Pagos!$E$6:$E$305,"&lt;="&amp;Supuestos!$D$6,Pagos!$H$6:$H$305,"OK"),"")</f>
        <v/>
      </c>
      <c r="O179" s="48" t="str">
        <f>IF(AND(Creditos!$C$8&lt;&gt;"",Creditos!$M$8="OK",54&lt;=Creditos!$H$8),MIN(J179,MAX(0,N179-K179-H179)),"")</f>
        <v/>
      </c>
      <c r="P179" s="48" t="str">
        <f>IF(AND(Creditos!$C$8&lt;&gt;"",Creditos!$M$8="OK",54&lt;=Creditos!$H$8),MAX(0,L179-N179),"")</f>
        <v/>
      </c>
      <c r="Q179" s="50" t="str">
        <f>IF(AND(Creditos!$C$8&lt;&gt;"",Creditos!$M$8="OK",54&lt;=Creditos!$H$8),IF(AND(E179&lt;Supuestos!$D$6,P179&gt;0.005),Supuestos!$D$6-E179,0),"")</f>
        <v/>
      </c>
      <c r="R179" s="48" t="str">
        <f>IF(AND(Creditos!$C$8&lt;&gt;"",Creditos!$M$8="OK",54&lt;=Creditos!$H$8),MAX(0,N179-L179),"")</f>
        <v/>
      </c>
      <c r="S179" s="46" t="str">
        <f>IF(AND(Creditos!$C$8&lt;&gt;"",Creditos!$M$8="OK",54&lt;=Creditos!$H$8),IF(R179&gt;0.005,"Exceso sin imputar",IF(P179&lt;=0.005,"Pagada",IF(E179&lt;Supuestos!$D$6,"Vencida",IF(E179=Supuestos!$D$6,"Vence hoy","Por vencer")))),"")</f>
        <v/>
      </c>
      <c r="T179" s="46">
        <f>IF(AND(Creditos!$C$8&lt;&gt;"",Creditos!$M$8="OK",54&lt;=Creditos!$H$8),IF(P179&gt;0.005,E179,999999),999999)</f>
        <v>999999</v>
      </c>
    </row>
    <row r="180" ht="25.5" customHeight="1">
      <c r="C180" s="46" t="str">
        <f>IF(AND(Creditos!$C$8&lt;&gt;"",Creditos!$M$8="OK",55&lt;=Creditos!$H$8),Creditos!$C$8,"")</f>
        <v/>
      </c>
      <c r="D180" s="46" t="str">
        <f>IF(AND(Creditos!$C$8&lt;&gt;"",Creditos!$M$8="OK",55&lt;=Creditos!$H$8),55,"")</f>
        <v/>
      </c>
      <c r="E180" s="47" t="str">
        <f>IF(AND(Creditos!$C$8&lt;&gt;"",Creditos!$M$8="OK",55&lt;=Creditos!$H$8),EDATE(Creditos!$I$8,54),"")</f>
        <v/>
      </c>
      <c r="F180" s="48" t="str">
        <f>IF(AND(Creditos!$C$8&lt;&gt;"",Creditos!$M$8="OK",55&lt;=Creditos!$H$8),M179,"")</f>
        <v/>
      </c>
      <c r="G180" s="49" t="str">
        <f>IF(AND(Creditos!$C$8&lt;&gt;"",Creditos!$M$8="OK",55&lt;=Creditos!$H$8),Creditos!$N$8,"")</f>
        <v/>
      </c>
      <c r="H180" s="48" t="str">
        <f>IF(AND(Creditos!$C$8&lt;&gt;"",Creditos!$M$8="OK",55&lt;=Creditos!$H$8),ROUND(F180*G180,2),"")</f>
        <v/>
      </c>
      <c r="I180" s="48" t="str">
        <f>IF(AND(Creditos!$C$8&lt;&gt;"",Creditos!$M$8="OK",55&lt;=Creditos!$H$8),IF(55=Creditos!$H$8,F180+H180,MIN(Creditos!$O$8,F180+H180)),"")</f>
        <v/>
      </c>
      <c r="J180" s="48" t="str">
        <f>IF(AND(Creditos!$C$8&lt;&gt;"",Creditos!$M$8="OK",55&lt;=Creditos!$H$8),MIN(F180,MAX(0,I180-H180)),"")</f>
        <v/>
      </c>
      <c r="K180" s="48" t="str">
        <f>IF(AND(Creditos!$C$8&lt;&gt;"",Creditos!$M$8="OK",55&lt;=Creditos!$H$8),Creditos!$J$8+Creditos!$K$8,"")</f>
        <v/>
      </c>
      <c r="L180" s="48" t="str">
        <f>IF(AND(Creditos!$C$8&lt;&gt;"",Creditos!$M$8="OK",55&lt;=Creditos!$H$8),I180+K180,"")</f>
        <v/>
      </c>
      <c r="M180" s="48" t="str">
        <f>IF(AND(Creditos!$C$8&lt;&gt;"",Creditos!$M$8="OK",55&lt;=Creditos!$H$8),MAX(0,F180-J180),"")</f>
        <v/>
      </c>
      <c r="N180" s="48" t="str">
        <f>IF(AND(Creditos!$C$8&lt;&gt;"",Creditos!$M$8="OK",55&lt;=Creditos!$H$8),SUMIFS(Pagos!$F$6:$F$305,Pagos!$C$6:$C$305,C180,Pagos!$D$6:$D$305,D180,Pagos!$E$6:$E$305,"&lt;="&amp;Supuestos!$D$6,Pagos!$H$6:$H$305,"OK"),"")</f>
        <v/>
      </c>
      <c r="O180" s="48" t="str">
        <f>IF(AND(Creditos!$C$8&lt;&gt;"",Creditos!$M$8="OK",55&lt;=Creditos!$H$8),MIN(J180,MAX(0,N180-K180-H180)),"")</f>
        <v/>
      </c>
      <c r="P180" s="48" t="str">
        <f>IF(AND(Creditos!$C$8&lt;&gt;"",Creditos!$M$8="OK",55&lt;=Creditos!$H$8),MAX(0,L180-N180),"")</f>
        <v/>
      </c>
      <c r="Q180" s="50" t="str">
        <f>IF(AND(Creditos!$C$8&lt;&gt;"",Creditos!$M$8="OK",55&lt;=Creditos!$H$8),IF(AND(E180&lt;Supuestos!$D$6,P180&gt;0.005),Supuestos!$D$6-E180,0),"")</f>
        <v/>
      </c>
      <c r="R180" s="48" t="str">
        <f>IF(AND(Creditos!$C$8&lt;&gt;"",Creditos!$M$8="OK",55&lt;=Creditos!$H$8),MAX(0,N180-L180),"")</f>
        <v/>
      </c>
      <c r="S180" s="46" t="str">
        <f>IF(AND(Creditos!$C$8&lt;&gt;"",Creditos!$M$8="OK",55&lt;=Creditos!$H$8),IF(R180&gt;0.005,"Exceso sin imputar",IF(P180&lt;=0.005,"Pagada",IF(E180&lt;Supuestos!$D$6,"Vencida",IF(E180=Supuestos!$D$6,"Vence hoy","Por vencer")))),"")</f>
        <v/>
      </c>
      <c r="T180" s="46">
        <f>IF(AND(Creditos!$C$8&lt;&gt;"",Creditos!$M$8="OK",55&lt;=Creditos!$H$8),IF(P180&gt;0.005,E180,999999),999999)</f>
        <v>999999</v>
      </c>
    </row>
    <row r="181" ht="25.5" customHeight="1">
      <c r="C181" s="46" t="str">
        <f>IF(AND(Creditos!$C$8&lt;&gt;"",Creditos!$M$8="OK",56&lt;=Creditos!$H$8),Creditos!$C$8,"")</f>
        <v/>
      </c>
      <c r="D181" s="46" t="str">
        <f>IF(AND(Creditos!$C$8&lt;&gt;"",Creditos!$M$8="OK",56&lt;=Creditos!$H$8),56,"")</f>
        <v/>
      </c>
      <c r="E181" s="47" t="str">
        <f>IF(AND(Creditos!$C$8&lt;&gt;"",Creditos!$M$8="OK",56&lt;=Creditos!$H$8),EDATE(Creditos!$I$8,55),"")</f>
        <v/>
      </c>
      <c r="F181" s="48" t="str">
        <f>IF(AND(Creditos!$C$8&lt;&gt;"",Creditos!$M$8="OK",56&lt;=Creditos!$H$8),M180,"")</f>
        <v/>
      </c>
      <c r="G181" s="49" t="str">
        <f>IF(AND(Creditos!$C$8&lt;&gt;"",Creditos!$M$8="OK",56&lt;=Creditos!$H$8),Creditos!$N$8,"")</f>
        <v/>
      </c>
      <c r="H181" s="48" t="str">
        <f>IF(AND(Creditos!$C$8&lt;&gt;"",Creditos!$M$8="OK",56&lt;=Creditos!$H$8),ROUND(F181*G181,2),"")</f>
        <v/>
      </c>
      <c r="I181" s="48" t="str">
        <f>IF(AND(Creditos!$C$8&lt;&gt;"",Creditos!$M$8="OK",56&lt;=Creditos!$H$8),IF(56=Creditos!$H$8,F181+H181,MIN(Creditos!$O$8,F181+H181)),"")</f>
        <v/>
      </c>
      <c r="J181" s="48" t="str">
        <f>IF(AND(Creditos!$C$8&lt;&gt;"",Creditos!$M$8="OK",56&lt;=Creditos!$H$8),MIN(F181,MAX(0,I181-H181)),"")</f>
        <v/>
      </c>
      <c r="K181" s="48" t="str">
        <f>IF(AND(Creditos!$C$8&lt;&gt;"",Creditos!$M$8="OK",56&lt;=Creditos!$H$8),Creditos!$J$8+Creditos!$K$8,"")</f>
        <v/>
      </c>
      <c r="L181" s="48" t="str">
        <f>IF(AND(Creditos!$C$8&lt;&gt;"",Creditos!$M$8="OK",56&lt;=Creditos!$H$8),I181+K181,"")</f>
        <v/>
      </c>
      <c r="M181" s="48" t="str">
        <f>IF(AND(Creditos!$C$8&lt;&gt;"",Creditos!$M$8="OK",56&lt;=Creditos!$H$8),MAX(0,F181-J181),"")</f>
        <v/>
      </c>
      <c r="N181" s="48" t="str">
        <f>IF(AND(Creditos!$C$8&lt;&gt;"",Creditos!$M$8="OK",56&lt;=Creditos!$H$8),SUMIFS(Pagos!$F$6:$F$305,Pagos!$C$6:$C$305,C181,Pagos!$D$6:$D$305,D181,Pagos!$E$6:$E$305,"&lt;="&amp;Supuestos!$D$6,Pagos!$H$6:$H$305,"OK"),"")</f>
        <v/>
      </c>
      <c r="O181" s="48" t="str">
        <f>IF(AND(Creditos!$C$8&lt;&gt;"",Creditos!$M$8="OK",56&lt;=Creditos!$H$8),MIN(J181,MAX(0,N181-K181-H181)),"")</f>
        <v/>
      </c>
      <c r="P181" s="48" t="str">
        <f>IF(AND(Creditos!$C$8&lt;&gt;"",Creditos!$M$8="OK",56&lt;=Creditos!$H$8),MAX(0,L181-N181),"")</f>
        <v/>
      </c>
      <c r="Q181" s="50" t="str">
        <f>IF(AND(Creditos!$C$8&lt;&gt;"",Creditos!$M$8="OK",56&lt;=Creditos!$H$8),IF(AND(E181&lt;Supuestos!$D$6,P181&gt;0.005),Supuestos!$D$6-E181,0),"")</f>
        <v/>
      </c>
      <c r="R181" s="48" t="str">
        <f>IF(AND(Creditos!$C$8&lt;&gt;"",Creditos!$M$8="OK",56&lt;=Creditos!$H$8),MAX(0,N181-L181),"")</f>
        <v/>
      </c>
      <c r="S181" s="46" t="str">
        <f>IF(AND(Creditos!$C$8&lt;&gt;"",Creditos!$M$8="OK",56&lt;=Creditos!$H$8),IF(R181&gt;0.005,"Exceso sin imputar",IF(P181&lt;=0.005,"Pagada",IF(E181&lt;Supuestos!$D$6,"Vencida",IF(E181=Supuestos!$D$6,"Vence hoy","Por vencer")))),"")</f>
        <v/>
      </c>
      <c r="T181" s="46">
        <f>IF(AND(Creditos!$C$8&lt;&gt;"",Creditos!$M$8="OK",56&lt;=Creditos!$H$8),IF(P181&gt;0.005,E181,999999),999999)</f>
        <v>999999</v>
      </c>
    </row>
    <row r="182" ht="25.5" customHeight="1">
      <c r="C182" s="46" t="str">
        <f>IF(AND(Creditos!$C$8&lt;&gt;"",Creditos!$M$8="OK",57&lt;=Creditos!$H$8),Creditos!$C$8,"")</f>
        <v/>
      </c>
      <c r="D182" s="46" t="str">
        <f>IF(AND(Creditos!$C$8&lt;&gt;"",Creditos!$M$8="OK",57&lt;=Creditos!$H$8),57,"")</f>
        <v/>
      </c>
      <c r="E182" s="47" t="str">
        <f>IF(AND(Creditos!$C$8&lt;&gt;"",Creditos!$M$8="OK",57&lt;=Creditos!$H$8),EDATE(Creditos!$I$8,56),"")</f>
        <v/>
      </c>
      <c r="F182" s="48" t="str">
        <f>IF(AND(Creditos!$C$8&lt;&gt;"",Creditos!$M$8="OK",57&lt;=Creditos!$H$8),M181,"")</f>
        <v/>
      </c>
      <c r="G182" s="49" t="str">
        <f>IF(AND(Creditos!$C$8&lt;&gt;"",Creditos!$M$8="OK",57&lt;=Creditos!$H$8),Creditos!$N$8,"")</f>
        <v/>
      </c>
      <c r="H182" s="48" t="str">
        <f>IF(AND(Creditos!$C$8&lt;&gt;"",Creditos!$M$8="OK",57&lt;=Creditos!$H$8),ROUND(F182*G182,2),"")</f>
        <v/>
      </c>
      <c r="I182" s="48" t="str">
        <f>IF(AND(Creditos!$C$8&lt;&gt;"",Creditos!$M$8="OK",57&lt;=Creditos!$H$8),IF(57=Creditos!$H$8,F182+H182,MIN(Creditos!$O$8,F182+H182)),"")</f>
        <v/>
      </c>
      <c r="J182" s="48" t="str">
        <f>IF(AND(Creditos!$C$8&lt;&gt;"",Creditos!$M$8="OK",57&lt;=Creditos!$H$8),MIN(F182,MAX(0,I182-H182)),"")</f>
        <v/>
      </c>
      <c r="K182" s="48" t="str">
        <f>IF(AND(Creditos!$C$8&lt;&gt;"",Creditos!$M$8="OK",57&lt;=Creditos!$H$8),Creditos!$J$8+Creditos!$K$8,"")</f>
        <v/>
      </c>
      <c r="L182" s="48" t="str">
        <f>IF(AND(Creditos!$C$8&lt;&gt;"",Creditos!$M$8="OK",57&lt;=Creditos!$H$8),I182+K182,"")</f>
        <v/>
      </c>
      <c r="M182" s="48" t="str">
        <f>IF(AND(Creditos!$C$8&lt;&gt;"",Creditos!$M$8="OK",57&lt;=Creditos!$H$8),MAX(0,F182-J182),"")</f>
        <v/>
      </c>
      <c r="N182" s="48" t="str">
        <f>IF(AND(Creditos!$C$8&lt;&gt;"",Creditos!$M$8="OK",57&lt;=Creditos!$H$8),SUMIFS(Pagos!$F$6:$F$305,Pagos!$C$6:$C$305,C182,Pagos!$D$6:$D$305,D182,Pagos!$E$6:$E$305,"&lt;="&amp;Supuestos!$D$6,Pagos!$H$6:$H$305,"OK"),"")</f>
        <v/>
      </c>
      <c r="O182" s="48" t="str">
        <f>IF(AND(Creditos!$C$8&lt;&gt;"",Creditos!$M$8="OK",57&lt;=Creditos!$H$8),MIN(J182,MAX(0,N182-K182-H182)),"")</f>
        <v/>
      </c>
      <c r="P182" s="48" t="str">
        <f>IF(AND(Creditos!$C$8&lt;&gt;"",Creditos!$M$8="OK",57&lt;=Creditos!$H$8),MAX(0,L182-N182),"")</f>
        <v/>
      </c>
      <c r="Q182" s="50" t="str">
        <f>IF(AND(Creditos!$C$8&lt;&gt;"",Creditos!$M$8="OK",57&lt;=Creditos!$H$8),IF(AND(E182&lt;Supuestos!$D$6,P182&gt;0.005),Supuestos!$D$6-E182,0),"")</f>
        <v/>
      </c>
      <c r="R182" s="48" t="str">
        <f>IF(AND(Creditos!$C$8&lt;&gt;"",Creditos!$M$8="OK",57&lt;=Creditos!$H$8),MAX(0,N182-L182),"")</f>
        <v/>
      </c>
      <c r="S182" s="46" t="str">
        <f>IF(AND(Creditos!$C$8&lt;&gt;"",Creditos!$M$8="OK",57&lt;=Creditos!$H$8),IF(R182&gt;0.005,"Exceso sin imputar",IF(P182&lt;=0.005,"Pagada",IF(E182&lt;Supuestos!$D$6,"Vencida",IF(E182=Supuestos!$D$6,"Vence hoy","Por vencer")))),"")</f>
        <v/>
      </c>
      <c r="T182" s="46">
        <f>IF(AND(Creditos!$C$8&lt;&gt;"",Creditos!$M$8="OK",57&lt;=Creditos!$H$8),IF(P182&gt;0.005,E182,999999),999999)</f>
        <v>999999</v>
      </c>
    </row>
    <row r="183" ht="25.5" customHeight="1">
      <c r="C183" s="46" t="str">
        <f>IF(AND(Creditos!$C$8&lt;&gt;"",Creditos!$M$8="OK",58&lt;=Creditos!$H$8),Creditos!$C$8,"")</f>
        <v/>
      </c>
      <c r="D183" s="46" t="str">
        <f>IF(AND(Creditos!$C$8&lt;&gt;"",Creditos!$M$8="OK",58&lt;=Creditos!$H$8),58,"")</f>
        <v/>
      </c>
      <c r="E183" s="47" t="str">
        <f>IF(AND(Creditos!$C$8&lt;&gt;"",Creditos!$M$8="OK",58&lt;=Creditos!$H$8),EDATE(Creditos!$I$8,57),"")</f>
        <v/>
      </c>
      <c r="F183" s="48" t="str">
        <f>IF(AND(Creditos!$C$8&lt;&gt;"",Creditos!$M$8="OK",58&lt;=Creditos!$H$8),M182,"")</f>
        <v/>
      </c>
      <c r="G183" s="49" t="str">
        <f>IF(AND(Creditos!$C$8&lt;&gt;"",Creditos!$M$8="OK",58&lt;=Creditos!$H$8),Creditos!$N$8,"")</f>
        <v/>
      </c>
      <c r="H183" s="48" t="str">
        <f>IF(AND(Creditos!$C$8&lt;&gt;"",Creditos!$M$8="OK",58&lt;=Creditos!$H$8),ROUND(F183*G183,2),"")</f>
        <v/>
      </c>
      <c r="I183" s="48" t="str">
        <f>IF(AND(Creditos!$C$8&lt;&gt;"",Creditos!$M$8="OK",58&lt;=Creditos!$H$8),IF(58=Creditos!$H$8,F183+H183,MIN(Creditos!$O$8,F183+H183)),"")</f>
        <v/>
      </c>
      <c r="J183" s="48" t="str">
        <f>IF(AND(Creditos!$C$8&lt;&gt;"",Creditos!$M$8="OK",58&lt;=Creditos!$H$8),MIN(F183,MAX(0,I183-H183)),"")</f>
        <v/>
      </c>
      <c r="K183" s="48" t="str">
        <f>IF(AND(Creditos!$C$8&lt;&gt;"",Creditos!$M$8="OK",58&lt;=Creditos!$H$8),Creditos!$J$8+Creditos!$K$8,"")</f>
        <v/>
      </c>
      <c r="L183" s="48" t="str">
        <f>IF(AND(Creditos!$C$8&lt;&gt;"",Creditos!$M$8="OK",58&lt;=Creditos!$H$8),I183+K183,"")</f>
        <v/>
      </c>
      <c r="M183" s="48" t="str">
        <f>IF(AND(Creditos!$C$8&lt;&gt;"",Creditos!$M$8="OK",58&lt;=Creditos!$H$8),MAX(0,F183-J183),"")</f>
        <v/>
      </c>
      <c r="N183" s="48" t="str">
        <f>IF(AND(Creditos!$C$8&lt;&gt;"",Creditos!$M$8="OK",58&lt;=Creditos!$H$8),SUMIFS(Pagos!$F$6:$F$305,Pagos!$C$6:$C$305,C183,Pagos!$D$6:$D$305,D183,Pagos!$E$6:$E$305,"&lt;="&amp;Supuestos!$D$6,Pagos!$H$6:$H$305,"OK"),"")</f>
        <v/>
      </c>
      <c r="O183" s="48" t="str">
        <f>IF(AND(Creditos!$C$8&lt;&gt;"",Creditos!$M$8="OK",58&lt;=Creditos!$H$8),MIN(J183,MAX(0,N183-K183-H183)),"")</f>
        <v/>
      </c>
      <c r="P183" s="48" t="str">
        <f>IF(AND(Creditos!$C$8&lt;&gt;"",Creditos!$M$8="OK",58&lt;=Creditos!$H$8),MAX(0,L183-N183),"")</f>
        <v/>
      </c>
      <c r="Q183" s="50" t="str">
        <f>IF(AND(Creditos!$C$8&lt;&gt;"",Creditos!$M$8="OK",58&lt;=Creditos!$H$8),IF(AND(E183&lt;Supuestos!$D$6,P183&gt;0.005),Supuestos!$D$6-E183,0),"")</f>
        <v/>
      </c>
      <c r="R183" s="48" t="str">
        <f>IF(AND(Creditos!$C$8&lt;&gt;"",Creditos!$M$8="OK",58&lt;=Creditos!$H$8),MAX(0,N183-L183),"")</f>
        <v/>
      </c>
      <c r="S183" s="46" t="str">
        <f>IF(AND(Creditos!$C$8&lt;&gt;"",Creditos!$M$8="OK",58&lt;=Creditos!$H$8),IF(R183&gt;0.005,"Exceso sin imputar",IF(P183&lt;=0.005,"Pagada",IF(E183&lt;Supuestos!$D$6,"Vencida",IF(E183=Supuestos!$D$6,"Vence hoy","Por vencer")))),"")</f>
        <v/>
      </c>
      <c r="T183" s="46">
        <f>IF(AND(Creditos!$C$8&lt;&gt;"",Creditos!$M$8="OK",58&lt;=Creditos!$H$8),IF(P183&gt;0.005,E183,999999),999999)</f>
        <v>999999</v>
      </c>
    </row>
    <row r="184" ht="25.5" customHeight="1">
      <c r="C184" s="46" t="str">
        <f>IF(AND(Creditos!$C$8&lt;&gt;"",Creditos!$M$8="OK",59&lt;=Creditos!$H$8),Creditos!$C$8,"")</f>
        <v/>
      </c>
      <c r="D184" s="46" t="str">
        <f>IF(AND(Creditos!$C$8&lt;&gt;"",Creditos!$M$8="OK",59&lt;=Creditos!$H$8),59,"")</f>
        <v/>
      </c>
      <c r="E184" s="47" t="str">
        <f>IF(AND(Creditos!$C$8&lt;&gt;"",Creditos!$M$8="OK",59&lt;=Creditos!$H$8),EDATE(Creditos!$I$8,58),"")</f>
        <v/>
      </c>
      <c r="F184" s="48" t="str">
        <f>IF(AND(Creditos!$C$8&lt;&gt;"",Creditos!$M$8="OK",59&lt;=Creditos!$H$8),M183,"")</f>
        <v/>
      </c>
      <c r="G184" s="49" t="str">
        <f>IF(AND(Creditos!$C$8&lt;&gt;"",Creditos!$M$8="OK",59&lt;=Creditos!$H$8),Creditos!$N$8,"")</f>
        <v/>
      </c>
      <c r="H184" s="48" t="str">
        <f>IF(AND(Creditos!$C$8&lt;&gt;"",Creditos!$M$8="OK",59&lt;=Creditos!$H$8),ROUND(F184*G184,2),"")</f>
        <v/>
      </c>
      <c r="I184" s="48" t="str">
        <f>IF(AND(Creditos!$C$8&lt;&gt;"",Creditos!$M$8="OK",59&lt;=Creditos!$H$8),IF(59=Creditos!$H$8,F184+H184,MIN(Creditos!$O$8,F184+H184)),"")</f>
        <v/>
      </c>
      <c r="J184" s="48" t="str">
        <f>IF(AND(Creditos!$C$8&lt;&gt;"",Creditos!$M$8="OK",59&lt;=Creditos!$H$8),MIN(F184,MAX(0,I184-H184)),"")</f>
        <v/>
      </c>
      <c r="K184" s="48" t="str">
        <f>IF(AND(Creditos!$C$8&lt;&gt;"",Creditos!$M$8="OK",59&lt;=Creditos!$H$8),Creditos!$J$8+Creditos!$K$8,"")</f>
        <v/>
      </c>
      <c r="L184" s="48" t="str">
        <f>IF(AND(Creditos!$C$8&lt;&gt;"",Creditos!$M$8="OK",59&lt;=Creditos!$H$8),I184+K184,"")</f>
        <v/>
      </c>
      <c r="M184" s="48" t="str">
        <f>IF(AND(Creditos!$C$8&lt;&gt;"",Creditos!$M$8="OK",59&lt;=Creditos!$H$8),MAX(0,F184-J184),"")</f>
        <v/>
      </c>
      <c r="N184" s="48" t="str">
        <f>IF(AND(Creditos!$C$8&lt;&gt;"",Creditos!$M$8="OK",59&lt;=Creditos!$H$8),SUMIFS(Pagos!$F$6:$F$305,Pagos!$C$6:$C$305,C184,Pagos!$D$6:$D$305,D184,Pagos!$E$6:$E$305,"&lt;="&amp;Supuestos!$D$6,Pagos!$H$6:$H$305,"OK"),"")</f>
        <v/>
      </c>
      <c r="O184" s="48" t="str">
        <f>IF(AND(Creditos!$C$8&lt;&gt;"",Creditos!$M$8="OK",59&lt;=Creditos!$H$8),MIN(J184,MAX(0,N184-K184-H184)),"")</f>
        <v/>
      </c>
      <c r="P184" s="48" t="str">
        <f>IF(AND(Creditos!$C$8&lt;&gt;"",Creditos!$M$8="OK",59&lt;=Creditos!$H$8),MAX(0,L184-N184),"")</f>
        <v/>
      </c>
      <c r="Q184" s="50" t="str">
        <f>IF(AND(Creditos!$C$8&lt;&gt;"",Creditos!$M$8="OK",59&lt;=Creditos!$H$8),IF(AND(E184&lt;Supuestos!$D$6,P184&gt;0.005),Supuestos!$D$6-E184,0),"")</f>
        <v/>
      </c>
      <c r="R184" s="48" t="str">
        <f>IF(AND(Creditos!$C$8&lt;&gt;"",Creditos!$M$8="OK",59&lt;=Creditos!$H$8),MAX(0,N184-L184),"")</f>
        <v/>
      </c>
      <c r="S184" s="46" t="str">
        <f>IF(AND(Creditos!$C$8&lt;&gt;"",Creditos!$M$8="OK",59&lt;=Creditos!$H$8),IF(R184&gt;0.005,"Exceso sin imputar",IF(P184&lt;=0.005,"Pagada",IF(E184&lt;Supuestos!$D$6,"Vencida",IF(E184=Supuestos!$D$6,"Vence hoy","Por vencer")))),"")</f>
        <v/>
      </c>
      <c r="T184" s="46">
        <f>IF(AND(Creditos!$C$8&lt;&gt;"",Creditos!$M$8="OK",59&lt;=Creditos!$H$8),IF(P184&gt;0.005,E184,999999),999999)</f>
        <v>999999</v>
      </c>
    </row>
    <row r="185" ht="25.5" customHeight="1">
      <c r="C185" s="46" t="str">
        <f>IF(AND(Creditos!$C$8&lt;&gt;"",Creditos!$M$8="OK",60&lt;=Creditos!$H$8),Creditos!$C$8,"")</f>
        <v/>
      </c>
      <c r="D185" s="46" t="str">
        <f>IF(AND(Creditos!$C$8&lt;&gt;"",Creditos!$M$8="OK",60&lt;=Creditos!$H$8),60,"")</f>
        <v/>
      </c>
      <c r="E185" s="47" t="str">
        <f>IF(AND(Creditos!$C$8&lt;&gt;"",Creditos!$M$8="OK",60&lt;=Creditos!$H$8),EDATE(Creditos!$I$8,59),"")</f>
        <v/>
      </c>
      <c r="F185" s="48" t="str">
        <f>IF(AND(Creditos!$C$8&lt;&gt;"",Creditos!$M$8="OK",60&lt;=Creditos!$H$8),M184,"")</f>
        <v/>
      </c>
      <c r="G185" s="49" t="str">
        <f>IF(AND(Creditos!$C$8&lt;&gt;"",Creditos!$M$8="OK",60&lt;=Creditos!$H$8),Creditos!$N$8,"")</f>
        <v/>
      </c>
      <c r="H185" s="48" t="str">
        <f>IF(AND(Creditos!$C$8&lt;&gt;"",Creditos!$M$8="OK",60&lt;=Creditos!$H$8),ROUND(F185*G185,2),"")</f>
        <v/>
      </c>
      <c r="I185" s="48" t="str">
        <f>IF(AND(Creditos!$C$8&lt;&gt;"",Creditos!$M$8="OK",60&lt;=Creditos!$H$8),IF(60=Creditos!$H$8,F185+H185,MIN(Creditos!$O$8,F185+H185)),"")</f>
        <v/>
      </c>
      <c r="J185" s="48" t="str">
        <f>IF(AND(Creditos!$C$8&lt;&gt;"",Creditos!$M$8="OK",60&lt;=Creditos!$H$8),MIN(F185,MAX(0,I185-H185)),"")</f>
        <v/>
      </c>
      <c r="K185" s="48" t="str">
        <f>IF(AND(Creditos!$C$8&lt;&gt;"",Creditos!$M$8="OK",60&lt;=Creditos!$H$8),Creditos!$J$8+Creditos!$K$8,"")</f>
        <v/>
      </c>
      <c r="L185" s="48" t="str">
        <f>IF(AND(Creditos!$C$8&lt;&gt;"",Creditos!$M$8="OK",60&lt;=Creditos!$H$8),I185+K185,"")</f>
        <v/>
      </c>
      <c r="M185" s="48" t="str">
        <f>IF(AND(Creditos!$C$8&lt;&gt;"",Creditos!$M$8="OK",60&lt;=Creditos!$H$8),MAX(0,F185-J185),"")</f>
        <v/>
      </c>
      <c r="N185" s="48" t="str">
        <f>IF(AND(Creditos!$C$8&lt;&gt;"",Creditos!$M$8="OK",60&lt;=Creditos!$H$8),SUMIFS(Pagos!$F$6:$F$305,Pagos!$C$6:$C$305,C185,Pagos!$D$6:$D$305,D185,Pagos!$E$6:$E$305,"&lt;="&amp;Supuestos!$D$6,Pagos!$H$6:$H$305,"OK"),"")</f>
        <v/>
      </c>
      <c r="O185" s="48" t="str">
        <f>IF(AND(Creditos!$C$8&lt;&gt;"",Creditos!$M$8="OK",60&lt;=Creditos!$H$8),MIN(J185,MAX(0,N185-K185-H185)),"")</f>
        <v/>
      </c>
      <c r="P185" s="48" t="str">
        <f>IF(AND(Creditos!$C$8&lt;&gt;"",Creditos!$M$8="OK",60&lt;=Creditos!$H$8),MAX(0,L185-N185),"")</f>
        <v/>
      </c>
      <c r="Q185" s="50" t="str">
        <f>IF(AND(Creditos!$C$8&lt;&gt;"",Creditos!$M$8="OK",60&lt;=Creditos!$H$8),IF(AND(E185&lt;Supuestos!$D$6,P185&gt;0.005),Supuestos!$D$6-E185,0),"")</f>
        <v/>
      </c>
      <c r="R185" s="48" t="str">
        <f>IF(AND(Creditos!$C$8&lt;&gt;"",Creditos!$M$8="OK",60&lt;=Creditos!$H$8),MAX(0,N185-L185),"")</f>
        <v/>
      </c>
      <c r="S185" s="46" t="str">
        <f>IF(AND(Creditos!$C$8&lt;&gt;"",Creditos!$M$8="OK",60&lt;=Creditos!$H$8),IF(R185&gt;0.005,"Exceso sin imputar",IF(P185&lt;=0.005,"Pagada",IF(E185&lt;Supuestos!$D$6,"Vencida",IF(E185=Supuestos!$D$6,"Vence hoy","Por vencer")))),"")</f>
        <v/>
      </c>
      <c r="T185" s="46">
        <f>IF(AND(Creditos!$C$8&lt;&gt;"",Creditos!$M$8="OK",60&lt;=Creditos!$H$8),IF(P185&gt;0.005,E185,999999),999999)</f>
        <v>999999</v>
      </c>
    </row>
    <row r="186" ht="25.5" customHeight="1">
      <c r="C186" s="46" t="str">
        <f>IF(AND(Creditos!$C$9&lt;&gt;"",Creditos!$M$9="OK",1&lt;=Creditos!$H$9),Creditos!$C$9,"")</f>
        <v/>
      </c>
      <c r="D186" s="46" t="str">
        <f>IF(AND(Creditos!$C$9&lt;&gt;"",Creditos!$M$9="OK",1&lt;=Creditos!$H$9),1,"")</f>
        <v/>
      </c>
      <c r="E186" s="47" t="str">
        <f>IF(AND(Creditos!$C$9&lt;&gt;"",Creditos!$M$9="OK",1&lt;=Creditos!$H$9),EDATE(Creditos!$I$9,0),"")</f>
        <v/>
      </c>
      <c r="F186" s="48" t="str">
        <f>IF(AND(Creditos!$C$9&lt;&gt;"",Creditos!$M$9="OK",1&lt;=Creditos!$H$9),Creditos!$E$9,"")</f>
        <v/>
      </c>
      <c r="G186" s="49" t="str">
        <f>IF(AND(Creditos!$C$9&lt;&gt;"",Creditos!$M$9="OK",1&lt;=Creditos!$H$9),Creditos!$N$9,"")</f>
        <v/>
      </c>
      <c r="H186" s="48" t="str">
        <f>IF(AND(Creditos!$C$9&lt;&gt;"",Creditos!$M$9="OK",1&lt;=Creditos!$H$9),ROUND(F186*G186,2),"")</f>
        <v/>
      </c>
      <c r="I186" s="48" t="str">
        <f>IF(AND(Creditos!$C$9&lt;&gt;"",Creditos!$M$9="OK",1&lt;=Creditos!$H$9),IF(1=Creditos!$H$9,F186+H186,MIN(Creditos!$O$9,F186+H186)),"")</f>
        <v/>
      </c>
      <c r="J186" s="48" t="str">
        <f>IF(AND(Creditos!$C$9&lt;&gt;"",Creditos!$M$9="OK",1&lt;=Creditos!$H$9),MIN(F186,MAX(0,I186-H186)),"")</f>
        <v/>
      </c>
      <c r="K186" s="48" t="str">
        <f>IF(AND(Creditos!$C$9&lt;&gt;"",Creditos!$M$9="OK",1&lt;=Creditos!$H$9),Creditos!$J$9+Creditos!$K$9,"")</f>
        <v/>
      </c>
      <c r="L186" s="48" t="str">
        <f>IF(AND(Creditos!$C$9&lt;&gt;"",Creditos!$M$9="OK",1&lt;=Creditos!$H$9),I186+K186,"")</f>
        <v/>
      </c>
      <c r="M186" s="48" t="str">
        <f>IF(AND(Creditos!$C$9&lt;&gt;"",Creditos!$M$9="OK",1&lt;=Creditos!$H$9),MAX(0,F186-J186),"")</f>
        <v/>
      </c>
      <c r="N186" s="48" t="str">
        <f>IF(AND(Creditos!$C$9&lt;&gt;"",Creditos!$M$9="OK",1&lt;=Creditos!$H$9),SUMIFS(Pagos!$F$6:$F$305,Pagos!$C$6:$C$305,C186,Pagos!$D$6:$D$305,D186,Pagos!$E$6:$E$305,"&lt;="&amp;Supuestos!$D$6,Pagos!$H$6:$H$305,"OK"),"")</f>
        <v/>
      </c>
      <c r="O186" s="48" t="str">
        <f>IF(AND(Creditos!$C$9&lt;&gt;"",Creditos!$M$9="OK",1&lt;=Creditos!$H$9),MIN(J186,MAX(0,N186-K186-H186)),"")</f>
        <v/>
      </c>
      <c r="P186" s="48" t="str">
        <f>IF(AND(Creditos!$C$9&lt;&gt;"",Creditos!$M$9="OK",1&lt;=Creditos!$H$9),MAX(0,L186-N186),"")</f>
        <v/>
      </c>
      <c r="Q186" s="50" t="str">
        <f>IF(AND(Creditos!$C$9&lt;&gt;"",Creditos!$M$9="OK",1&lt;=Creditos!$H$9),IF(AND(E186&lt;Supuestos!$D$6,P186&gt;0.005),Supuestos!$D$6-E186,0),"")</f>
        <v/>
      </c>
      <c r="R186" s="48" t="str">
        <f>IF(AND(Creditos!$C$9&lt;&gt;"",Creditos!$M$9="OK",1&lt;=Creditos!$H$9),MAX(0,N186-L186),"")</f>
        <v/>
      </c>
      <c r="S186" s="46" t="str">
        <f>IF(AND(Creditos!$C$9&lt;&gt;"",Creditos!$M$9="OK",1&lt;=Creditos!$H$9),IF(R186&gt;0.005,"Exceso sin imputar",IF(P186&lt;=0.005,"Pagada",IF(E186&lt;Supuestos!$D$6,"Vencida",IF(E186=Supuestos!$D$6,"Vence hoy","Por vencer")))),"")</f>
        <v/>
      </c>
      <c r="T186" s="46">
        <f>IF(AND(Creditos!$C$9&lt;&gt;"",Creditos!$M$9="OK",1&lt;=Creditos!$H$9),IF(P186&gt;0.005,E186,999999),999999)</f>
        <v>999999</v>
      </c>
    </row>
    <row r="187" ht="25.5" customHeight="1">
      <c r="C187" s="46" t="str">
        <f>IF(AND(Creditos!$C$9&lt;&gt;"",Creditos!$M$9="OK",2&lt;=Creditos!$H$9),Creditos!$C$9,"")</f>
        <v/>
      </c>
      <c r="D187" s="46" t="str">
        <f>IF(AND(Creditos!$C$9&lt;&gt;"",Creditos!$M$9="OK",2&lt;=Creditos!$H$9),2,"")</f>
        <v/>
      </c>
      <c r="E187" s="47" t="str">
        <f>IF(AND(Creditos!$C$9&lt;&gt;"",Creditos!$M$9="OK",2&lt;=Creditos!$H$9),EDATE(Creditos!$I$9,1),"")</f>
        <v/>
      </c>
      <c r="F187" s="48" t="str">
        <f>IF(AND(Creditos!$C$9&lt;&gt;"",Creditos!$M$9="OK",2&lt;=Creditos!$H$9),M186,"")</f>
        <v/>
      </c>
      <c r="G187" s="49" t="str">
        <f>IF(AND(Creditos!$C$9&lt;&gt;"",Creditos!$M$9="OK",2&lt;=Creditos!$H$9),Creditos!$N$9,"")</f>
        <v/>
      </c>
      <c r="H187" s="48" t="str">
        <f>IF(AND(Creditos!$C$9&lt;&gt;"",Creditos!$M$9="OK",2&lt;=Creditos!$H$9),ROUND(F187*G187,2),"")</f>
        <v/>
      </c>
      <c r="I187" s="48" t="str">
        <f>IF(AND(Creditos!$C$9&lt;&gt;"",Creditos!$M$9="OK",2&lt;=Creditos!$H$9),IF(2=Creditos!$H$9,F187+H187,MIN(Creditos!$O$9,F187+H187)),"")</f>
        <v/>
      </c>
      <c r="J187" s="48" t="str">
        <f>IF(AND(Creditos!$C$9&lt;&gt;"",Creditos!$M$9="OK",2&lt;=Creditos!$H$9),MIN(F187,MAX(0,I187-H187)),"")</f>
        <v/>
      </c>
      <c r="K187" s="48" t="str">
        <f>IF(AND(Creditos!$C$9&lt;&gt;"",Creditos!$M$9="OK",2&lt;=Creditos!$H$9),Creditos!$J$9+Creditos!$K$9,"")</f>
        <v/>
      </c>
      <c r="L187" s="48" t="str">
        <f>IF(AND(Creditos!$C$9&lt;&gt;"",Creditos!$M$9="OK",2&lt;=Creditos!$H$9),I187+K187,"")</f>
        <v/>
      </c>
      <c r="M187" s="48" t="str">
        <f>IF(AND(Creditos!$C$9&lt;&gt;"",Creditos!$M$9="OK",2&lt;=Creditos!$H$9),MAX(0,F187-J187),"")</f>
        <v/>
      </c>
      <c r="N187" s="48" t="str">
        <f>IF(AND(Creditos!$C$9&lt;&gt;"",Creditos!$M$9="OK",2&lt;=Creditos!$H$9),SUMIFS(Pagos!$F$6:$F$305,Pagos!$C$6:$C$305,C187,Pagos!$D$6:$D$305,D187,Pagos!$E$6:$E$305,"&lt;="&amp;Supuestos!$D$6,Pagos!$H$6:$H$305,"OK"),"")</f>
        <v/>
      </c>
      <c r="O187" s="48" t="str">
        <f>IF(AND(Creditos!$C$9&lt;&gt;"",Creditos!$M$9="OK",2&lt;=Creditos!$H$9),MIN(J187,MAX(0,N187-K187-H187)),"")</f>
        <v/>
      </c>
      <c r="P187" s="48" t="str">
        <f>IF(AND(Creditos!$C$9&lt;&gt;"",Creditos!$M$9="OK",2&lt;=Creditos!$H$9),MAX(0,L187-N187),"")</f>
        <v/>
      </c>
      <c r="Q187" s="50" t="str">
        <f>IF(AND(Creditos!$C$9&lt;&gt;"",Creditos!$M$9="OK",2&lt;=Creditos!$H$9),IF(AND(E187&lt;Supuestos!$D$6,P187&gt;0.005),Supuestos!$D$6-E187,0),"")</f>
        <v/>
      </c>
      <c r="R187" s="48" t="str">
        <f>IF(AND(Creditos!$C$9&lt;&gt;"",Creditos!$M$9="OK",2&lt;=Creditos!$H$9),MAX(0,N187-L187),"")</f>
        <v/>
      </c>
      <c r="S187" s="46" t="str">
        <f>IF(AND(Creditos!$C$9&lt;&gt;"",Creditos!$M$9="OK",2&lt;=Creditos!$H$9),IF(R187&gt;0.005,"Exceso sin imputar",IF(P187&lt;=0.005,"Pagada",IF(E187&lt;Supuestos!$D$6,"Vencida",IF(E187=Supuestos!$D$6,"Vence hoy","Por vencer")))),"")</f>
        <v/>
      </c>
      <c r="T187" s="46">
        <f>IF(AND(Creditos!$C$9&lt;&gt;"",Creditos!$M$9="OK",2&lt;=Creditos!$H$9),IF(P187&gt;0.005,E187,999999),999999)</f>
        <v>999999</v>
      </c>
    </row>
    <row r="188" ht="25.5" customHeight="1">
      <c r="C188" s="46" t="str">
        <f>IF(AND(Creditos!$C$9&lt;&gt;"",Creditos!$M$9="OK",3&lt;=Creditos!$H$9),Creditos!$C$9,"")</f>
        <v/>
      </c>
      <c r="D188" s="46" t="str">
        <f>IF(AND(Creditos!$C$9&lt;&gt;"",Creditos!$M$9="OK",3&lt;=Creditos!$H$9),3,"")</f>
        <v/>
      </c>
      <c r="E188" s="47" t="str">
        <f>IF(AND(Creditos!$C$9&lt;&gt;"",Creditos!$M$9="OK",3&lt;=Creditos!$H$9),EDATE(Creditos!$I$9,2),"")</f>
        <v/>
      </c>
      <c r="F188" s="48" t="str">
        <f>IF(AND(Creditos!$C$9&lt;&gt;"",Creditos!$M$9="OK",3&lt;=Creditos!$H$9),M187,"")</f>
        <v/>
      </c>
      <c r="G188" s="49" t="str">
        <f>IF(AND(Creditos!$C$9&lt;&gt;"",Creditos!$M$9="OK",3&lt;=Creditos!$H$9),Creditos!$N$9,"")</f>
        <v/>
      </c>
      <c r="H188" s="48" t="str">
        <f>IF(AND(Creditos!$C$9&lt;&gt;"",Creditos!$M$9="OK",3&lt;=Creditos!$H$9),ROUND(F188*G188,2),"")</f>
        <v/>
      </c>
      <c r="I188" s="48" t="str">
        <f>IF(AND(Creditos!$C$9&lt;&gt;"",Creditos!$M$9="OK",3&lt;=Creditos!$H$9),IF(3=Creditos!$H$9,F188+H188,MIN(Creditos!$O$9,F188+H188)),"")</f>
        <v/>
      </c>
      <c r="J188" s="48" t="str">
        <f>IF(AND(Creditos!$C$9&lt;&gt;"",Creditos!$M$9="OK",3&lt;=Creditos!$H$9),MIN(F188,MAX(0,I188-H188)),"")</f>
        <v/>
      </c>
      <c r="K188" s="48" t="str">
        <f>IF(AND(Creditos!$C$9&lt;&gt;"",Creditos!$M$9="OK",3&lt;=Creditos!$H$9),Creditos!$J$9+Creditos!$K$9,"")</f>
        <v/>
      </c>
      <c r="L188" s="48" t="str">
        <f>IF(AND(Creditos!$C$9&lt;&gt;"",Creditos!$M$9="OK",3&lt;=Creditos!$H$9),I188+K188,"")</f>
        <v/>
      </c>
      <c r="M188" s="48" t="str">
        <f>IF(AND(Creditos!$C$9&lt;&gt;"",Creditos!$M$9="OK",3&lt;=Creditos!$H$9),MAX(0,F188-J188),"")</f>
        <v/>
      </c>
      <c r="N188" s="48" t="str">
        <f>IF(AND(Creditos!$C$9&lt;&gt;"",Creditos!$M$9="OK",3&lt;=Creditos!$H$9),SUMIFS(Pagos!$F$6:$F$305,Pagos!$C$6:$C$305,C188,Pagos!$D$6:$D$305,D188,Pagos!$E$6:$E$305,"&lt;="&amp;Supuestos!$D$6,Pagos!$H$6:$H$305,"OK"),"")</f>
        <v/>
      </c>
      <c r="O188" s="48" t="str">
        <f>IF(AND(Creditos!$C$9&lt;&gt;"",Creditos!$M$9="OK",3&lt;=Creditos!$H$9),MIN(J188,MAX(0,N188-K188-H188)),"")</f>
        <v/>
      </c>
      <c r="P188" s="48" t="str">
        <f>IF(AND(Creditos!$C$9&lt;&gt;"",Creditos!$M$9="OK",3&lt;=Creditos!$H$9),MAX(0,L188-N188),"")</f>
        <v/>
      </c>
      <c r="Q188" s="50" t="str">
        <f>IF(AND(Creditos!$C$9&lt;&gt;"",Creditos!$M$9="OK",3&lt;=Creditos!$H$9),IF(AND(E188&lt;Supuestos!$D$6,P188&gt;0.005),Supuestos!$D$6-E188,0),"")</f>
        <v/>
      </c>
      <c r="R188" s="48" t="str">
        <f>IF(AND(Creditos!$C$9&lt;&gt;"",Creditos!$M$9="OK",3&lt;=Creditos!$H$9),MAX(0,N188-L188),"")</f>
        <v/>
      </c>
      <c r="S188" s="46" t="str">
        <f>IF(AND(Creditos!$C$9&lt;&gt;"",Creditos!$M$9="OK",3&lt;=Creditos!$H$9),IF(R188&gt;0.005,"Exceso sin imputar",IF(P188&lt;=0.005,"Pagada",IF(E188&lt;Supuestos!$D$6,"Vencida",IF(E188=Supuestos!$D$6,"Vence hoy","Por vencer")))),"")</f>
        <v/>
      </c>
      <c r="T188" s="46">
        <f>IF(AND(Creditos!$C$9&lt;&gt;"",Creditos!$M$9="OK",3&lt;=Creditos!$H$9),IF(P188&gt;0.005,E188,999999),999999)</f>
        <v>999999</v>
      </c>
    </row>
    <row r="189" ht="25.5" customHeight="1">
      <c r="C189" s="46" t="str">
        <f>IF(AND(Creditos!$C$9&lt;&gt;"",Creditos!$M$9="OK",4&lt;=Creditos!$H$9),Creditos!$C$9,"")</f>
        <v/>
      </c>
      <c r="D189" s="46" t="str">
        <f>IF(AND(Creditos!$C$9&lt;&gt;"",Creditos!$M$9="OK",4&lt;=Creditos!$H$9),4,"")</f>
        <v/>
      </c>
      <c r="E189" s="47" t="str">
        <f>IF(AND(Creditos!$C$9&lt;&gt;"",Creditos!$M$9="OK",4&lt;=Creditos!$H$9),EDATE(Creditos!$I$9,3),"")</f>
        <v/>
      </c>
      <c r="F189" s="48" t="str">
        <f>IF(AND(Creditos!$C$9&lt;&gt;"",Creditos!$M$9="OK",4&lt;=Creditos!$H$9),M188,"")</f>
        <v/>
      </c>
      <c r="G189" s="49" t="str">
        <f>IF(AND(Creditos!$C$9&lt;&gt;"",Creditos!$M$9="OK",4&lt;=Creditos!$H$9),Creditos!$N$9,"")</f>
        <v/>
      </c>
      <c r="H189" s="48" t="str">
        <f>IF(AND(Creditos!$C$9&lt;&gt;"",Creditos!$M$9="OK",4&lt;=Creditos!$H$9),ROUND(F189*G189,2),"")</f>
        <v/>
      </c>
      <c r="I189" s="48" t="str">
        <f>IF(AND(Creditos!$C$9&lt;&gt;"",Creditos!$M$9="OK",4&lt;=Creditos!$H$9),IF(4=Creditos!$H$9,F189+H189,MIN(Creditos!$O$9,F189+H189)),"")</f>
        <v/>
      </c>
      <c r="J189" s="48" t="str">
        <f>IF(AND(Creditos!$C$9&lt;&gt;"",Creditos!$M$9="OK",4&lt;=Creditos!$H$9),MIN(F189,MAX(0,I189-H189)),"")</f>
        <v/>
      </c>
      <c r="K189" s="48" t="str">
        <f>IF(AND(Creditos!$C$9&lt;&gt;"",Creditos!$M$9="OK",4&lt;=Creditos!$H$9),Creditos!$J$9+Creditos!$K$9,"")</f>
        <v/>
      </c>
      <c r="L189" s="48" t="str">
        <f>IF(AND(Creditos!$C$9&lt;&gt;"",Creditos!$M$9="OK",4&lt;=Creditos!$H$9),I189+K189,"")</f>
        <v/>
      </c>
      <c r="M189" s="48" t="str">
        <f>IF(AND(Creditos!$C$9&lt;&gt;"",Creditos!$M$9="OK",4&lt;=Creditos!$H$9),MAX(0,F189-J189),"")</f>
        <v/>
      </c>
      <c r="N189" s="48" t="str">
        <f>IF(AND(Creditos!$C$9&lt;&gt;"",Creditos!$M$9="OK",4&lt;=Creditos!$H$9),SUMIFS(Pagos!$F$6:$F$305,Pagos!$C$6:$C$305,C189,Pagos!$D$6:$D$305,D189,Pagos!$E$6:$E$305,"&lt;="&amp;Supuestos!$D$6,Pagos!$H$6:$H$305,"OK"),"")</f>
        <v/>
      </c>
      <c r="O189" s="48" t="str">
        <f>IF(AND(Creditos!$C$9&lt;&gt;"",Creditos!$M$9="OK",4&lt;=Creditos!$H$9),MIN(J189,MAX(0,N189-K189-H189)),"")</f>
        <v/>
      </c>
      <c r="P189" s="48" t="str">
        <f>IF(AND(Creditos!$C$9&lt;&gt;"",Creditos!$M$9="OK",4&lt;=Creditos!$H$9),MAX(0,L189-N189),"")</f>
        <v/>
      </c>
      <c r="Q189" s="50" t="str">
        <f>IF(AND(Creditos!$C$9&lt;&gt;"",Creditos!$M$9="OK",4&lt;=Creditos!$H$9),IF(AND(E189&lt;Supuestos!$D$6,P189&gt;0.005),Supuestos!$D$6-E189,0),"")</f>
        <v/>
      </c>
      <c r="R189" s="48" t="str">
        <f>IF(AND(Creditos!$C$9&lt;&gt;"",Creditos!$M$9="OK",4&lt;=Creditos!$H$9),MAX(0,N189-L189),"")</f>
        <v/>
      </c>
      <c r="S189" s="46" t="str">
        <f>IF(AND(Creditos!$C$9&lt;&gt;"",Creditos!$M$9="OK",4&lt;=Creditos!$H$9),IF(R189&gt;0.005,"Exceso sin imputar",IF(P189&lt;=0.005,"Pagada",IF(E189&lt;Supuestos!$D$6,"Vencida",IF(E189=Supuestos!$D$6,"Vence hoy","Por vencer")))),"")</f>
        <v/>
      </c>
      <c r="T189" s="46">
        <f>IF(AND(Creditos!$C$9&lt;&gt;"",Creditos!$M$9="OK",4&lt;=Creditos!$H$9),IF(P189&gt;0.005,E189,999999),999999)</f>
        <v>999999</v>
      </c>
    </row>
    <row r="190" ht="25.5" customHeight="1">
      <c r="C190" s="46" t="str">
        <f>IF(AND(Creditos!$C$9&lt;&gt;"",Creditos!$M$9="OK",5&lt;=Creditos!$H$9),Creditos!$C$9,"")</f>
        <v/>
      </c>
      <c r="D190" s="46" t="str">
        <f>IF(AND(Creditos!$C$9&lt;&gt;"",Creditos!$M$9="OK",5&lt;=Creditos!$H$9),5,"")</f>
        <v/>
      </c>
      <c r="E190" s="47" t="str">
        <f>IF(AND(Creditos!$C$9&lt;&gt;"",Creditos!$M$9="OK",5&lt;=Creditos!$H$9),EDATE(Creditos!$I$9,4),"")</f>
        <v/>
      </c>
      <c r="F190" s="48" t="str">
        <f>IF(AND(Creditos!$C$9&lt;&gt;"",Creditos!$M$9="OK",5&lt;=Creditos!$H$9),M189,"")</f>
        <v/>
      </c>
      <c r="G190" s="49" t="str">
        <f>IF(AND(Creditos!$C$9&lt;&gt;"",Creditos!$M$9="OK",5&lt;=Creditos!$H$9),Creditos!$N$9,"")</f>
        <v/>
      </c>
      <c r="H190" s="48" t="str">
        <f>IF(AND(Creditos!$C$9&lt;&gt;"",Creditos!$M$9="OK",5&lt;=Creditos!$H$9),ROUND(F190*G190,2),"")</f>
        <v/>
      </c>
      <c r="I190" s="48" t="str">
        <f>IF(AND(Creditos!$C$9&lt;&gt;"",Creditos!$M$9="OK",5&lt;=Creditos!$H$9),IF(5=Creditos!$H$9,F190+H190,MIN(Creditos!$O$9,F190+H190)),"")</f>
        <v/>
      </c>
      <c r="J190" s="48" t="str">
        <f>IF(AND(Creditos!$C$9&lt;&gt;"",Creditos!$M$9="OK",5&lt;=Creditos!$H$9),MIN(F190,MAX(0,I190-H190)),"")</f>
        <v/>
      </c>
      <c r="K190" s="48" t="str">
        <f>IF(AND(Creditos!$C$9&lt;&gt;"",Creditos!$M$9="OK",5&lt;=Creditos!$H$9),Creditos!$J$9+Creditos!$K$9,"")</f>
        <v/>
      </c>
      <c r="L190" s="48" t="str">
        <f>IF(AND(Creditos!$C$9&lt;&gt;"",Creditos!$M$9="OK",5&lt;=Creditos!$H$9),I190+K190,"")</f>
        <v/>
      </c>
      <c r="M190" s="48" t="str">
        <f>IF(AND(Creditos!$C$9&lt;&gt;"",Creditos!$M$9="OK",5&lt;=Creditos!$H$9),MAX(0,F190-J190),"")</f>
        <v/>
      </c>
      <c r="N190" s="48" t="str">
        <f>IF(AND(Creditos!$C$9&lt;&gt;"",Creditos!$M$9="OK",5&lt;=Creditos!$H$9),SUMIFS(Pagos!$F$6:$F$305,Pagos!$C$6:$C$305,C190,Pagos!$D$6:$D$305,D190,Pagos!$E$6:$E$305,"&lt;="&amp;Supuestos!$D$6,Pagos!$H$6:$H$305,"OK"),"")</f>
        <v/>
      </c>
      <c r="O190" s="48" t="str">
        <f>IF(AND(Creditos!$C$9&lt;&gt;"",Creditos!$M$9="OK",5&lt;=Creditos!$H$9),MIN(J190,MAX(0,N190-K190-H190)),"")</f>
        <v/>
      </c>
      <c r="P190" s="48" t="str">
        <f>IF(AND(Creditos!$C$9&lt;&gt;"",Creditos!$M$9="OK",5&lt;=Creditos!$H$9),MAX(0,L190-N190),"")</f>
        <v/>
      </c>
      <c r="Q190" s="50" t="str">
        <f>IF(AND(Creditos!$C$9&lt;&gt;"",Creditos!$M$9="OK",5&lt;=Creditos!$H$9),IF(AND(E190&lt;Supuestos!$D$6,P190&gt;0.005),Supuestos!$D$6-E190,0),"")</f>
        <v/>
      </c>
      <c r="R190" s="48" t="str">
        <f>IF(AND(Creditos!$C$9&lt;&gt;"",Creditos!$M$9="OK",5&lt;=Creditos!$H$9),MAX(0,N190-L190),"")</f>
        <v/>
      </c>
      <c r="S190" s="46" t="str">
        <f>IF(AND(Creditos!$C$9&lt;&gt;"",Creditos!$M$9="OK",5&lt;=Creditos!$H$9),IF(R190&gt;0.005,"Exceso sin imputar",IF(P190&lt;=0.005,"Pagada",IF(E190&lt;Supuestos!$D$6,"Vencida",IF(E190=Supuestos!$D$6,"Vence hoy","Por vencer")))),"")</f>
        <v/>
      </c>
      <c r="T190" s="46">
        <f>IF(AND(Creditos!$C$9&lt;&gt;"",Creditos!$M$9="OK",5&lt;=Creditos!$H$9),IF(P190&gt;0.005,E190,999999),999999)</f>
        <v>999999</v>
      </c>
    </row>
    <row r="191" ht="25.5" customHeight="1">
      <c r="C191" s="46" t="str">
        <f>IF(AND(Creditos!$C$9&lt;&gt;"",Creditos!$M$9="OK",6&lt;=Creditos!$H$9),Creditos!$C$9,"")</f>
        <v/>
      </c>
      <c r="D191" s="46" t="str">
        <f>IF(AND(Creditos!$C$9&lt;&gt;"",Creditos!$M$9="OK",6&lt;=Creditos!$H$9),6,"")</f>
        <v/>
      </c>
      <c r="E191" s="47" t="str">
        <f>IF(AND(Creditos!$C$9&lt;&gt;"",Creditos!$M$9="OK",6&lt;=Creditos!$H$9),EDATE(Creditos!$I$9,5),"")</f>
        <v/>
      </c>
      <c r="F191" s="48" t="str">
        <f>IF(AND(Creditos!$C$9&lt;&gt;"",Creditos!$M$9="OK",6&lt;=Creditos!$H$9),M190,"")</f>
        <v/>
      </c>
      <c r="G191" s="49" t="str">
        <f>IF(AND(Creditos!$C$9&lt;&gt;"",Creditos!$M$9="OK",6&lt;=Creditos!$H$9),Creditos!$N$9,"")</f>
        <v/>
      </c>
      <c r="H191" s="48" t="str">
        <f>IF(AND(Creditos!$C$9&lt;&gt;"",Creditos!$M$9="OK",6&lt;=Creditos!$H$9),ROUND(F191*G191,2),"")</f>
        <v/>
      </c>
      <c r="I191" s="48" t="str">
        <f>IF(AND(Creditos!$C$9&lt;&gt;"",Creditos!$M$9="OK",6&lt;=Creditos!$H$9),IF(6=Creditos!$H$9,F191+H191,MIN(Creditos!$O$9,F191+H191)),"")</f>
        <v/>
      </c>
      <c r="J191" s="48" t="str">
        <f>IF(AND(Creditos!$C$9&lt;&gt;"",Creditos!$M$9="OK",6&lt;=Creditos!$H$9),MIN(F191,MAX(0,I191-H191)),"")</f>
        <v/>
      </c>
      <c r="K191" s="48" t="str">
        <f>IF(AND(Creditos!$C$9&lt;&gt;"",Creditos!$M$9="OK",6&lt;=Creditos!$H$9),Creditos!$J$9+Creditos!$K$9,"")</f>
        <v/>
      </c>
      <c r="L191" s="48" t="str">
        <f>IF(AND(Creditos!$C$9&lt;&gt;"",Creditos!$M$9="OK",6&lt;=Creditos!$H$9),I191+K191,"")</f>
        <v/>
      </c>
      <c r="M191" s="48" t="str">
        <f>IF(AND(Creditos!$C$9&lt;&gt;"",Creditos!$M$9="OK",6&lt;=Creditos!$H$9),MAX(0,F191-J191),"")</f>
        <v/>
      </c>
      <c r="N191" s="48" t="str">
        <f>IF(AND(Creditos!$C$9&lt;&gt;"",Creditos!$M$9="OK",6&lt;=Creditos!$H$9),SUMIFS(Pagos!$F$6:$F$305,Pagos!$C$6:$C$305,C191,Pagos!$D$6:$D$305,D191,Pagos!$E$6:$E$305,"&lt;="&amp;Supuestos!$D$6,Pagos!$H$6:$H$305,"OK"),"")</f>
        <v/>
      </c>
      <c r="O191" s="48" t="str">
        <f>IF(AND(Creditos!$C$9&lt;&gt;"",Creditos!$M$9="OK",6&lt;=Creditos!$H$9),MIN(J191,MAX(0,N191-K191-H191)),"")</f>
        <v/>
      </c>
      <c r="P191" s="48" t="str">
        <f>IF(AND(Creditos!$C$9&lt;&gt;"",Creditos!$M$9="OK",6&lt;=Creditos!$H$9),MAX(0,L191-N191),"")</f>
        <v/>
      </c>
      <c r="Q191" s="50" t="str">
        <f>IF(AND(Creditos!$C$9&lt;&gt;"",Creditos!$M$9="OK",6&lt;=Creditos!$H$9),IF(AND(E191&lt;Supuestos!$D$6,P191&gt;0.005),Supuestos!$D$6-E191,0),"")</f>
        <v/>
      </c>
      <c r="R191" s="48" t="str">
        <f>IF(AND(Creditos!$C$9&lt;&gt;"",Creditos!$M$9="OK",6&lt;=Creditos!$H$9),MAX(0,N191-L191),"")</f>
        <v/>
      </c>
      <c r="S191" s="46" t="str">
        <f>IF(AND(Creditos!$C$9&lt;&gt;"",Creditos!$M$9="OK",6&lt;=Creditos!$H$9),IF(R191&gt;0.005,"Exceso sin imputar",IF(P191&lt;=0.005,"Pagada",IF(E191&lt;Supuestos!$D$6,"Vencida",IF(E191=Supuestos!$D$6,"Vence hoy","Por vencer")))),"")</f>
        <v/>
      </c>
      <c r="T191" s="46">
        <f>IF(AND(Creditos!$C$9&lt;&gt;"",Creditos!$M$9="OK",6&lt;=Creditos!$H$9),IF(P191&gt;0.005,E191,999999),999999)</f>
        <v>999999</v>
      </c>
    </row>
    <row r="192" ht="25.5" customHeight="1">
      <c r="C192" s="46" t="str">
        <f>IF(AND(Creditos!$C$9&lt;&gt;"",Creditos!$M$9="OK",7&lt;=Creditos!$H$9),Creditos!$C$9,"")</f>
        <v/>
      </c>
      <c r="D192" s="46" t="str">
        <f>IF(AND(Creditos!$C$9&lt;&gt;"",Creditos!$M$9="OK",7&lt;=Creditos!$H$9),7,"")</f>
        <v/>
      </c>
      <c r="E192" s="47" t="str">
        <f>IF(AND(Creditos!$C$9&lt;&gt;"",Creditos!$M$9="OK",7&lt;=Creditos!$H$9),EDATE(Creditos!$I$9,6),"")</f>
        <v/>
      </c>
      <c r="F192" s="48" t="str">
        <f>IF(AND(Creditos!$C$9&lt;&gt;"",Creditos!$M$9="OK",7&lt;=Creditos!$H$9),M191,"")</f>
        <v/>
      </c>
      <c r="G192" s="49" t="str">
        <f>IF(AND(Creditos!$C$9&lt;&gt;"",Creditos!$M$9="OK",7&lt;=Creditos!$H$9),Creditos!$N$9,"")</f>
        <v/>
      </c>
      <c r="H192" s="48" t="str">
        <f>IF(AND(Creditos!$C$9&lt;&gt;"",Creditos!$M$9="OK",7&lt;=Creditos!$H$9),ROUND(F192*G192,2),"")</f>
        <v/>
      </c>
      <c r="I192" s="48" t="str">
        <f>IF(AND(Creditos!$C$9&lt;&gt;"",Creditos!$M$9="OK",7&lt;=Creditos!$H$9),IF(7=Creditos!$H$9,F192+H192,MIN(Creditos!$O$9,F192+H192)),"")</f>
        <v/>
      </c>
      <c r="J192" s="48" t="str">
        <f>IF(AND(Creditos!$C$9&lt;&gt;"",Creditos!$M$9="OK",7&lt;=Creditos!$H$9),MIN(F192,MAX(0,I192-H192)),"")</f>
        <v/>
      </c>
      <c r="K192" s="48" t="str">
        <f>IF(AND(Creditos!$C$9&lt;&gt;"",Creditos!$M$9="OK",7&lt;=Creditos!$H$9),Creditos!$J$9+Creditos!$K$9,"")</f>
        <v/>
      </c>
      <c r="L192" s="48" t="str">
        <f>IF(AND(Creditos!$C$9&lt;&gt;"",Creditos!$M$9="OK",7&lt;=Creditos!$H$9),I192+K192,"")</f>
        <v/>
      </c>
      <c r="M192" s="48" t="str">
        <f>IF(AND(Creditos!$C$9&lt;&gt;"",Creditos!$M$9="OK",7&lt;=Creditos!$H$9),MAX(0,F192-J192),"")</f>
        <v/>
      </c>
      <c r="N192" s="48" t="str">
        <f>IF(AND(Creditos!$C$9&lt;&gt;"",Creditos!$M$9="OK",7&lt;=Creditos!$H$9),SUMIFS(Pagos!$F$6:$F$305,Pagos!$C$6:$C$305,C192,Pagos!$D$6:$D$305,D192,Pagos!$E$6:$E$305,"&lt;="&amp;Supuestos!$D$6,Pagos!$H$6:$H$305,"OK"),"")</f>
        <v/>
      </c>
      <c r="O192" s="48" t="str">
        <f>IF(AND(Creditos!$C$9&lt;&gt;"",Creditos!$M$9="OK",7&lt;=Creditos!$H$9),MIN(J192,MAX(0,N192-K192-H192)),"")</f>
        <v/>
      </c>
      <c r="P192" s="48" t="str">
        <f>IF(AND(Creditos!$C$9&lt;&gt;"",Creditos!$M$9="OK",7&lt;=Creditos!$H$9),MAX(0,L192-N192),"")</f>
        <v/>
      </c>
      <c r="Q192" s="50" t="str">
        <f>IF(AND(Creditos!$C$9&lt;&gt;"",Creditos!$M$9="OK",7&lt;=Creditos!$H$9),IF(AND(E192&lt;Supuestos!$D$6,P192&gt;0.005),Supuestos!$D$6-E192,0),"")</f>
        <v/>
      </c>
      <c r="R192" s="48" t="str">
        <f>IF(AND(Creditos!$C$9&lt;&gt;"",Creditos!$M$9="OK",7&lt;=Creditos!$H$9),MAX(0,N192-L192),"")</f>
        <v/>
      </c>
      <c r="S192" s="46" t="str">
        <f>IF(AND(Creditos!$C$9&lt;&gt;"",Creditos!$M$9="OK",7&lt;=Creditos!$H$9),IF(R192&gt;0.005,"Exceso sin imputar",IF(P192&lt;=0.005,"Pagada",IF(E192&lt;Supuestos!$D$6,"Vencida",IF(E192=Supuestos!$D$6,"Vence hoy","Por vencer")))),"")</f>
        <v/>
      </c>
      <c r="T192" s="46">
        <f>IF(AND(Creditos!$C$9&lt;&gt;"",Creditos!$M$9="OK",7&lt;=Creditos!$H$9),IF(P192&gt;0.005,E192,999999),999999)</f>
        <v>999999</v>
      </c>
    </row>
    <row r="193" ht="25.5" customHeight="1">
      <c r="C193" s="46" t="str">
        <f>IF(AND(Creditos!$C$9&lt;&gt;"",Creditos!$M$9="OK",8&lt;=Creditos!$H$9),Creditos!$C$9,"")</f>
        <v/>
      </c>
      <c r="D193" s="46" t="str">
        <f>IF(AND(Creditos!$C$9&lt;&gt;"",Creditos!$M$9="OK",8&lt;=Creditos!$H$9),8,"")</f>
        <v/>
      </c>
      <c r="E193" s="47" t="str">
        <f>IF(AND(Creditos!$C$9&lt;&gt;"",Creditos!$M$9="OK",8&lt;=Creditos!$H$9),EDATE(Creditos!$I$9,7),"")</f>
        <v/>
      </c>
      <c r="F193" s="48" t="str">
        <f>IF(AND(Creditos!$C$9&lt;&gt;"",Creditos!$M$9="OK",8&lt;=Creditos!$H$9),M192,"")</f>
        <v/>
      </c>
      <c r="G193" s="49" t="str">
        <f>IF(AND(Creditos!$C$9&lt;&gt;"",Creditos!$M$9="OK",8&lt;=Creditos!$H$9),Creditos!$N$9,"")</f>
        <v/>
      </c>
      <c r="H193" s="48" t="str">
        <f>IF(AND(Creditos!$C$9&lt;&gt;"",Creditos!$M$9="OK",8&lt;=Creditos!$H$9),ROUND(F193*G193,2),"")</f>
        <v/>
      </c>
      <c r="I193" s="48" t="str">
        <f>IF(AND(Creditos!$C$9&lt;&gt;"",Creditos!$M$9="OK",8&lt;=Creditos!$H$9),IF(8=Creditos!$H$9,F193+H193,MIN(Creditos!$O$9,F193+H193)),"")</f>
        <v/>
      </c>
      <c r="J193" s="48" t="str">
        <f>IF(AND(Creditos!$C$9&lt;&gt;"",Creditos!$M$9="OK",8&lt;=Creditos!$H$9),MIN(F193,MAX(0,I193-H193)),"")</f>
        <v/>
      </c>
      <c r="K193" s="48" t="str">
        <f>IF(AND(Creditos!$C$9&lt;&gt;"",Creditos!$M$9="OK",8&lt;=Creditos!$H$9),Creditos!$J$9+Creditos!$K$9,"")</f>
        <v/>
      </c>
      <c r="L193" s="48" t="str">
        <f>IF(AND(Creditos!$C$9&lt;&gt;"",Creditos!$M$9="OK",8&lt;=Creditos!$H$9),I193+K193,"")</f>
        <v/>
      </c>
      <c r="M193" s="48" t="str">
        <f>IF(AND(Creditos!$C$9&lt;&gt;"",Creditos!$M$9="OK",8&lt;=Creditos!$H$9),MAX(0,F193-J193),"")</f>
        <v/>
      </c>
      <c r="N193" s="48" t="str">
        <f>IF(AND(Creditos!$C$9&lt;&gt;"",Creditos!$M$9="OK",8&lt;=Creditos!$H$9),SUMIFS(Pagos!$F$6:$F$305,Pagos!$C$6:$C$305,C193,Pagos!$D$6:$D$305,D193,Pagos!$E$6:$E$305,"&lt;="&amp;Supuestos!$D$6,Pagos!$H$6:$H$305,"OK"),"")</f>
        <v/>
      </c>
      <c r="O193" s="48" t="str">
        <f>IF(AND(Creditos!$C$9&lt;&gt;"",Creditos!$M$9="OK",8&lt;=Creditos!$H$9),MIN(J193,MAX(0,N193-K193-H193)),"")</f>
        <v/>
      </c>
      <c r="P193" s="48" t="str">
        <f>IF(AND(Creditos!$C$9&lt;&gt;"",Creditos!$M$9="OK",8&lt;=Creditos!$H$9),MAX(0,L193-N193),"")</f>
        <v/>
      </c>
      <c r="Q193" s="50" t="str">
        <f>IF(AND(Creditos!$C$9&lt;&gt;"",Creditos!$M$9="OK",8&lt;=Creditos!$H$9),IF(AND(E193&lt;Supuestos!$D$6,P193&gt;0.005),Supuestos!$D$6-E193,0),"")</f>
        <v/>
      </c>
      <c r="R193" s="48" t="str">
        <f>IF(AND(Creditos!$C$9&lt;&gt;"",Creditos!$M$9="OK",8&lt;=Creditos!$H$9),MAX(0,N193-L193),"")</f>
        <v/>
      </c>
      <c r="S193" s="46" t="str">
        <f>IF(AND(Creditos!$C$9&lt;&gt;"",Creditos!$M$9="OK",8&lt;=Creditos!$H$9),IF(R193&gt;0.005,"Exceso sin imputar",IF(P193&lt;=0.005,"Pagada",IF(E193&lt;Supuestos!$D$6,"Vencida",IF(E193=Supuestos!$D$6,"Vence hoy","Por vencer")))),"")</f>
        <v/>
      </c>
      <c r="T193" s="46">
        <f>IF(AND(Creditos!$C$9&lt;&gt;"",Creditos!$M$9="OK",8&lt;=Creditos!$H$9),IF(P193&gt;0.005,E193,999999),999999)</f>
        <v>999999</v>
      </c>
    </row>
    <row r="194" ht="25.5" customHeight="1">
      <c r="C194" s="46" t="str">
        <f>IF(AND(Creditos!$C$9&lt;&gt;"",Creditos!$M$9="OK",9&lt;=Creditos!$H$9),Creditos!$C$9,"")</f>
        <v/>
      </c>
      <c r="D194" s="46" t="str">
        <f>IF(AND(Creditos!$C$9&lt;&gt;"",Creditos!$M$9="OK",9&lt;=Creditos!$H$9),9,"")</f>
        <v/>
      </c>
      <c r="E194" s="47" t="str">
        <f>IF(AND(Creditos!$C$9&lt;&gt;"",Creditos!$M$9="OK",9&lt;=Creditos!$H$9),EDATE(Creditos!$I$9,8),"")</f>
        <v/>
      </c>
      <c r="F194" s="48" t="str">
        <f>IF(AND(Creditos!$C$9&lt;&gt;"",Creditos!$M$9="OK",9&lt;=Creditos!$H$9),M193,"")</f>
        <v/>
      </c>
      <c r="G194" s="49" t="str">
        <f>IF(AND(Creditos!$C$9&lt;&gt;"",Creditos!$M$9="OK",9&lt;=Creditos!$H$9),Creditos!$N$9,"")</f>
        <v/>
      </c>
      <c r="H194" s="48" t="str">
        <f>IF(AND(Creditos!$C$9&lt;&gt;"",Creditos!$M$9="OK",9&lt;=Creditos!$H$9),ROUND(F194*G194,2),"")</f>
        <v/>
      </c>
      <c r="I194" s="48" t="str">
        <f>IF(AND(Creditos!$C$9&lt;&gt;"",Creditos!$M$9="OK",9&lt;=Creditos!$H$9),IF(9=Creditos!$H$9,F194+H194,MIN(Creditos!$O$9,F194+H194)),"")</f>
        <v/>
      </c>
      <c r="J194" s="48" t="str">
        <f>IF(AND(Creditos!$C$9&lt;&gt;"",Creditos!$M$9="OK",9&lt;=Creditos!$H$9),MIN(F194,MAX(0,I194-H194)),"")</f>
        <v/>
      </c>
      <c r="K194" s="48" t="str">
        <f>IF(AND(Creditos!$C$9&lt;&gt;"",Creditos!$M$9="OK",9&lt;=Creditos!$H$9),Creditos!$J$9+Creditos!$K$9,"")</f>
        <v/>
      </c>
      <c r="L194" s="48" t="str">
        <f>IF(AND(Creditos!$C$9&lt;&gt;"",Creditos!$M$9="OK",9&lt;=Creditos!$H$9),I194+K194,"")</f>
        <v/>
      </c>
      <c r="M194" s="48" t="str">
        <f>IF(AND(Creditos!$C$9&lt;&gt;"",Creditos!$M$9="OK",9&lt;=Creditos!$H$9),MAX(0,F194-J194),"")</f>
        <v/>
      </c>
      <c r="N194" s="48" t="str">
        <f>IF(AND(Creditos!$C$9&lt;&gt;"",Creditos!$M$9="OK",9&lt;=Creditos!$H$9),SUMIFS(Pagos!$F$6:$F$305,Pagos!$C$6:$C$305,C194,Pagos!$D$6:$D$305,D194,Pagos!$E$6:$E$305,"&lt;="&amp;Supuestos!$D$6,Pagos!$H$6:$H$305,"OK"),"")</f>
        <v/>
      </c>
      <c r="O194" s="48" t="str">
        <f>IF(AND(Creditos!$C$9&lt;&gt;"",Creditos!$M$9="OK",9&lt;=Creditos!$H$9),MIN(J194,MAX(0,N194-K194-H194)),"")</f>
        <v/>
      </c>
      <c r="P194" s="48" t="str">
        <f>IF(AND(Creditos!$C$9&lt;&gt;"",Creditos!$M$9="OK",9&lt;=Creditos!$H$9),MAX(0,L194-N194),"")</f>
        <v/>
      </c>
      <c r="Q194" s="50" t="str">
        <f>IF(AND(Creditos!$C$9&lt;&gt;"",Creditos!$M$9="OK",9&lt;=Creditos!$H$9),IF(AND(E194&lt;Supuestos!$D$6,P194&gt;0.005),Supuestos!$D$6-E194,0),"")</f>
        <v/>
      </c>
      <c r="R194" s="48" t="str">
        <f>IF(AND(Creditos!$C$9&lt;&gt;"",Creditos!$M$9="OK",9&lt;=Creditos!$H$9),MAX(0,N194-L194),"")</f>
        <v/>
      </c>
      <c r="S194" s="46" t="str">
        <f>IF(AND(Creditos!$C$9&lt;&gt;"",Creditos!$M$9="OK",9&lt;=Creditos!$H$9),IF(R194&gt;0.005,"Exceso sin imputar",IF(P194&lt;=0.005,"Pagada",IF(E194&lt;Supuestos!$D$6,"Vencida",IF(E194=Supuestos!$D$6,"Vence hoy","Por vencer")))),"")</f>
        <v/>
      </c>
      <c r="T194" s="46">
        <f>IF(AND(Creditos!$C$9&lt;&gt;"",Creditos!$M$9="OK",9&lt;=Creditos!$H$9),IF(P194&gt;0.005,E194,999999),999999)</f>
        <v>999999</v>
      </c>
    </row>
    <row r="195" ht="25.5" customHeight="1">
      <c r="C195" s="46" t="str">
        <f>IF(AND(Creditos!$C$9&lt;&gt;"",Creditos!$M$9="OK",10&lt;=Creditos!$H$9),Creditos!$C$9,"")</f>
        <v/>
      </c>
      <c r="D195" s="46" t="str">
        <f>IF(AND(Creditos!$C$9&lt;&gt;"",Creditos!$M$9="OK",10&lt;=Creditos!$H$9),10,"")</f>
        <v/>
      </c>
      <c r="E195" s="47" t="str">
        <f>IF(AND(Creditos!$C$9&lt;&gt;"",Creditos!$M$9="OK",10&lt;=Creditos!$H$9),EDATE(Creditos!$I$9,9),"")</f>
        <v/>
      </c>
      <c r="F195" s="48" t="str">
        <f>IF(AND(Creditos!$C$9&lt;&gt;"",Creditos!$M$9="OK",10&lt;=Creditos!$H$9),M194,"")</f>
        <v/>
      </c>
      <c r="G195" s="49" t="str">
        <f>IF(AND(Creditos!$C$9&lt;&gt;"",Creditos!$M$9="OK",10&lt;=Creditos!$H$9),Creditos!$N$9,"")</f>
        <v/>
      </c>
      <c r="H195" s="48" t="str">
        <f>IF(AND(Creditos!$C$9&lt;&gt;"",Creditos!$M$9="OK",10&lt;=Creditos!$H$9),ROUND(F195*G195,2),"")</f>
        <v/>
      </c>
      <c r="I195" s="48" t="str">
        <f>IF(AND(Creditos!$C$9&lt;&gt;"",Creditos!$M$9="OK",10&lt;=Creditos!$H$9),IF(10=Creditos!$H$9,F195+H195,MIN(Creditos!$O$9,F195+H195)),"")</f>
        <v/>
      </c>
      <c r="J195" s="48" t="str">
        <f>IF(AND(Creditos!$C$9&lt;&gt;"",Creditos!$M$9="OK",10&lt;=Creditos!$H$9),MIN(F195,MAX(0,I195-H195)),"")</f>
        <v/>
      </c>
      <c r="K195" s="48" t="str">
        <f>IF(AND(Creditos!$C$9&lt;&gt;"",Creditos!$M$9="OK",10&lt;=Creditos!$H$9),Creditos!$J$9+Creditos!$K$9,"")</f>
        <v/>
      </c>
      <c r="L195" s="48" t="str">
        <f>IF(AND(Creditos!$C$9&lt;&gt;"",Creditos!$M$9="OK",10&lt;=Creditos!$H$9),I195+K195,"")</f>
        <v/>
      </c>
      <c r="M195" s="48" t="str">
        <f>IF(AND(Creditos!$C$9&lt;&gt;"",Creditos!$M$9="OK",10&lt;=Creditos!$H$9),MAX(0,F195-J195),"")</f>
        <v/>
      </c>
      <c r="N195" s="48" t="str">
        <f>IF(AND(Creditos!$C$9&lt;&gt;"",Creditos!$M$9="OK",10&lt;=Creditos!$H$9),SUMIFS(Pagos!$F$6:$F$305,Pagos!$C$6:$C$305,C195,Pagos!$D$6:$D$305,D195,Pagos!$E$6:$E$305,"&lt;="&amp;Supuestos!$D$6,Pagos!$H$6:$H$305,"OK"),"")</f>
        <v/>
      </c>
      <c r="O195" s="48" t="str">
        <f>IF(AND(Creditos!$C$9&lt;&gt;"",Creditos!$M$9="OK",10&lt;=Creditos!$H$9),MIN(J195,MAX(0,N195-K195-H195)),"")</f>
        <v/>
      </c>
      <c r="P195" s="48" t="str">
        <f>IF(AND(Creditos!$C$9&lt;&gt;"",Creditos!$M$9="OK",10&lt;=Creditos!$H$9),MAX(0,L195-N195),"")</f>
        <v/>
      </c>
      <c r="Q195" s="50" t="str">
        <f>IF(AND(Creditos!$C$9&lt;&gt;"",Creditos!$M$9="OK",10&lt;=Creditos!$H$9),IF(AND(E195&lt;Supuestos!$D$6,P195&gt;0.005),Supuestos!$D$6-E195,0),"")</f>
        <v/>
      </c>
      <c r="R195" s="48" t="str">
        <f>IF(AND(Creditos!$C$9&lt;&gt;"",Creditos!$M$9="OK",10&lt;=Creditos!$H$9),MAX(0,N195-L195),"")</f>
        <v/>
      </c>
      <c r="S195" s="46" t="str">
        <f>IF(AND(Creditos!$C$9&lt;&gt;"",Creditos!$M$9="OK",10&lt;=Creditos!$H$9),IF(R195&gt;0.005,"Exceso sin imputar",IF(P195&lt;=0.005,"Pagada",IF(E195&lt;Supuestos!$D$6,"Vencida",IF(E195=Supuestos!$D$6,"Vence hoy","Por vencer")))),"")</f>
        <v/>
      </c>
      <c r="T195" s="46">
        <f>IF(AND(Creditos!$C$9&lt;&gt;"",Creditos!$M$9="OK",10&lt;=Creditos!$H$9),IF(P195&gt;0.005,E195,999999),999999)</f>
        <v>999999</v>
      </c>
    </row>
    <row r="196" ht="25.5" customHeight="1">
      <c r="C196" s="46" t="str">
        <f>IF(AND(Creditos!$C$9&lt;&gt;"",Creditos!$M$9="OK",11&lt;=Creditos!$H$9),Creditos!$C$9,"")</f>
        <v/>
      </c>
      <c r="D196" s="46" t="str">
        <f>IF(AND(Creditos!$C$9&lt;&gt;"",Creditos!$M$9="OK",11&lt;=Creditos!$H$9),11,"")</f>
        <v/>
      </c>
      <c r="E196" s="47" t="str">
        <f>IF(AND(Creditos!$C$9&lt;&gt;"",Creditos!$M$9="OK",11&lt;=Creditos!$H$9),EDATE(Creditos!$I$9,10),"")</f>
        <v/>
      </c>
      <c r="F196" s="48" t="str">
        <f>IF(AND(Creditos!$C$9&lt;&gt;"",Creditos!$M$9="OK",11&lt;=Creditos!$H$9),M195,"")</f>
        <v/>
      </c>
      <c r="G196" s="49" t="str">
        <f>IF(AND(Creditos!$C$9&lt;&gt;"",Creditos!$M$9="OK",11&lt;=Creditos!$H$9),Creditos!$N$9,"")</f>
        <v/>
      </c>
      <c r="H196" s="48" t="str">
        <f>IF(AND(Creditos!$C$9&lt;&gt;"",Creditos!$M$9="OK",11&lt;=Creditos!$H$9),ROUND(F196*G196,2),"")</f>
        <v/>
      </c>
      <c r="I196" s="48" t="str">
        <f>IF(AND(Creditos!$C$9&lt;&gt;"",Creditos!$M$9="OK",11&lt;=Creditos!$H$9),IF(11=Creditos!$H$9,F196+H196,MIN(Creditos!$O$9,F196+H196)),"")</f>
        <v/>
      </c>
      <c r="J196" s="48" t="str">
        <f>IF(AND(Creditos!$C$9&lt;&gt;"",Creditos!$M$9="OK",11&lt;=Creditos!$H$9),MIN(F196,MAX(0,I196-H196)),"")</f>
        <v/>
      </c>
      <c r="K196" s="48" t="str">
        <f>IF(AND(Creditos!$C$9&lt;&gt;"",Creditos!$M$9="OK",11&lt;=Creditos!$H$9),Creditos!$J$9+Creditos!$K$9,"")</f>
        <v/>
      </c>
      <c r="L196" s="48" t="str">
        <f>IF(AND(Creditos!$C$9&lt;&gt;"",Creditos!$M$9="OK",11&lt;=Creditos!$H$9),I196+K196,"")</f>
        <v/>
      </c>
      <c r="M196" s="48" t="str">
        <f>IF(AND(Creditos!$C$9&lt;&gt;"",Creditos!$M$9="OK",11&lt;=Creditos!$H$9),MAX(0,F196-J196),"")</f>
        <v/>
      </c>
      <c r="N196" s="48" t="str">
        <f>IF(AND(Creditos!$C$9&lt;&gt;"",Creditos!$M$9="OK",11&lt;=Creditos!$H$9),SUMIFS(Pagos!$F$6:$F$305,Pagos!$C$6:$C$305,C196,Pagos!$D$6:$D$305,D196,Pagos!$E$6:$E$305,"&lt;="&amp;Supuestos!$D$6,Pagos!$H$6:$H$305,"OK"),"")</f>
        <v/>
      </c>
      <c r="O196" s="48" t="str">
        <f>IF(AND(Creditos!$C$9&lt;&gt;"",Creditos!$M$9="OK",11&lt;=Creditos!$H$9),MIN(J196,MAX(0,N196-K196-H196)),"")</f>
        <v/>
      </c>
      <c r="P196" s="48" t="str">
        <f>IF(AND(Creditos!$C$9&lt;&gt;"",Creditos!$M$9="OK",11&lt;=Creditos!$H$9),MAX(0,L196-N196),"")</f>
        <v/>
      </c>
      <c r="Q196" s="50" t="str">
        <f>IF(AND(Creditos!$C$9&lt;&gt;"",Creditos!$M$9="OK",11&lt;=Creditos!$H$9),IF(AND(E196&lt;Supuestos!$D$6,P196&gt;0.005),Supuestos!$D$6-E196,0),"")</f>
        <v/>
      </c>
      <c r="R196" s="48" t="str">
        <f>IF(AND(Creditos!$C$9&lt;&gt;"",Creditos!$M$9="OK",11&lt;=Creditos!$H$9),MAX(0,N196-L196),"")</f>
        <v/>
      </c>
      <c r="S196" s="46" t="str">
        <f>IF(AND(Creditos!$C$9&lt;&gt;"",Creditos!$M$9="OK",11&lt;=Creditos!$H$9),IF(R196&gt;0.005,"Exceso sin imputar",IF(P196&lt;=0.005,"Pagada",IF(E196&lt;Supuestos!$D$6,"Vencida",IF(E196=Supuestos!$D$6,"Vence hoy","Por vencer")))),"")</f>
        <v/>
      </c>
      <c r="T196" s="46">
        <f>IF(AND(Creditos!$C$9&lt;&gt;"",Creditos!$M$9="OK",11&lt;=Creditos!$H$9),IF(P196&gt;0.005,E196,999999),999999)</f>
        <v>999999</v>
      </c>
    </row>
    <row r="197" ht="25.5" customHeight="1">
      <c r="C197" s="46" t="str">
        <f>IF(AND(Creditos!$C$9&lt;&gt;"",Creditos!$M$9="OK",12&lt;=Creditos!$H$9),Creditos!$C$9,"")</f>
        <v/>
      </c>
      <c r="D197" s="46" t="str">
        <f>IF(AND(Creditos!$C$9&lt;&gt;"",Creditos!$M$9="OK",12&lt;=Creditos!$H$9),12,"")</f>
        <v/>
      </c>
      <c r="E197" s="47" t="str">
        <f>IF(AND(Creditos!$C$9&lt;&gt;"",Creditos!$M$9="OK",12&lt;=Creditos!$H$9),EDATE(Creditos!$I$9,11),"")</f>
        <v/>
      </c>
      <c r="F197" s="48" t="str">
        <f>IF(AND(Creditos!$C$9&lt;&gt;"",Creditos!$M$9="OK",12&lt;=Creditos!$H$9),M196,"")</f>
        <v/>
      </c>
      <c r="G197" s="49" t="str">
        <f>IF(AND(Creditos!$C$9&lt;&gt;"",Creditos!$M$9="OK",12&lt;=Creditos!$H$9),Creditos!$N$9,"")</f>
        <v/>
      </c>
      <c r="H197" s="48" t="str">
        <f>IF(AND(Creditos!$C$9&lt;&gt;"",Creditos!$M$9="OK",12&lt;=Creditos!$H$9),ROUND(F197*G197,2),"")</f>
        <v/>
      </c>
      <c r="I197" s="48" t="str">
        <f>IF(AND(Creditos!$C$9&lt;&gt;"",Creditos!$M$9="OK",12&lt;=Creditos!$H$9),IF(12=Creditos!$H$9,F197+H197,MIN(Creditos!$O$9,F197+H197)),"")</f>
        <v/>
      </c>
      <c r="J197" s="48" t="str">
        <f>IF(AND(Creditos!$C$9&lt;&gt;"",Creditos!$M$9="OK",12&lt;=Creditos!$H$9),MIN(F197,MAX(0,I197-H197)),"")</f>
        <v/>
      </c>
      <c r="K197" s="48" t="str">
        <f>IF(AND(Creditos!$C$9&lt;&gt;"",Creditos!$M$9="OK",12&lt;=Creditos!$H$9),Creditos!$J$9+Creditos!$K$9,"")</f>
        <v/>
      </c>
      <c r="L197" s="48" t="str">
        <f>IF(AND(Creditos!$C$9&lt;&gt;"",Creditos!$M$9="OK",12&lt;=Creditos!$H$9),I197+K197,"")</f>
        <v/>
      </c>
      <c r="M197" s="48" t="str">
        <f>IF(AND(Creditos!$C$9&lt;&gt;"",Creditos!$M$9="OK",12&lt;=Creditos!$H$9),MAX(0,F197-J197),"")</f>
        <v/>
      </c>
      <c r="N197" s="48" t="str">
        <f>IF(AND(Creditos!$C$9&lt;&gt;"",Creditos!$M$9="OK",12&lt;=Creditos!$H$9),SUMIFS(Pagos!$F$6:$F$305,Pagos!$C$6:$C$305,C197,Pagos!$D$6:$D$305,D197,Pagos!$E$6:$E$305,"&lt;="&amp;Supuestos!$D$6,Pagos!$H$6:$H$305,"OK"),"")</f>
        <v/>
      </c>
      <c r="O197" s="48" t="str">
        <f>IF(AND(Creditos!$C$9&lt;&gt;"",Creditos!$M$9="OK",12&lt;=Creditos!$H$9),MIN(J197,MAX(0,N197-K197-H197)),"")</f>
        <v/>
      </c>
      <c r="P197" s="48" t="str">
        <f>IF(AND(Creditos!$C$9&lt;&gt;"",Creditos!$M$9="OK",12&lt;=Creditos!$H$9),MAX(0,L197-N197),"")</f>
        <v/>
      </c>
      <c r="Q197" s="50" t="str">
        <f>IF(AND(Creditos!$C$9&lt;&gt;"",Creditos!$M$9="OK",12&lt;=Creditos!$H$9),IF(AND(E197&lt;Supuestos!$D$6,P197&gt;0.005),Supuestos!$D$6-E197,0),"")</f>
        <v/>
      </c>
      <c r="R197" s="48" t="str">
        <f>IF(AND(Creditos!$C$9&lt;&gt;"",Creditos!$M$9="OK",12&lt;=Creditos!$H$9),MAX(0,N197-L197),"")</f>
        <v/>
      </c>
      <c r="S197" s="46" t="str">
        <f>IF(AND(Creditos!$C$9&lt;&gt;"",Creditos!$M$9="OK",12&lt;=Creditos!$H$9),IF(R197&gt;0.005,"Exceso sin imputar",IF(P197&lt;=0.005,"Pagada",IF(E197&lt;Supuestos!$D$6,"Vencida",IF(E197=Supuestos!$D$6,"Vence hoy","Por vencer")))),"")</f>
        <v/>
      </c>
      <c r="T197" s="46">
        <f>IF(AND(Creditos!$C$9&lt;&gt;"",Creditos!$M$9="OK",12&lt;=Creditos!$H$9),IF(P197&gt;0.005,E197,999999),999999)</f>
        <v>999999</v>
      </c>
    </row>
    <row r="198" ht="25.5" customHeight="1">
      <c r="C198" s="46" t="str">
        <f>IF(AND(Creditos!$C$9&lt;&gt;"",Creditos!$M$9="OK",13&lt;=Creditos!$H$9),Creditos!$C$9,"")</f>
        <v/>
      </c>
      <c r="D198" s="46" t="str">
        <f>IF(AND(Creditos!$C$9&lt;&gt;"",Creditos!$M$9="OK",13&lt;=Creditos!$H$9),13,"")</f>
        <v/>
      </c>
      <c r="E198" s="47" t="str">
        <f>IF(AND(Creditos!$C$9&lt;&gt;"",Creditos!$M$9="OK",13&lt;=Creditos!$H$9),EDATE(Creditos!$I$9,12),"")</f>
        <v/>
      </c>
      <c r="F198" s="48" t="str">
        <f>IF(AND(Creditos!$C$9&lt;&gt;"",Creditos!$M$9="OK",13&lt;=Creditos!$H$9),M197,"")</f>
        <v/>
      </c>
      <c r="G198" s="49" t="str">
        <f>IF(AND(Creditos!$C$9&lt;&gt;"",Creditos!$M$9="OK",13&lt;=Creditos!$H$9),Creditos!$N$9,"")</f>
        <v/>
      </c>
      <c r="H198" s="48" t="str">
        <f>IF(AND(Creditos!$C$9&lt;&gt;"",Creditos!$M$9="OK",13&lt;=Creditos!$H$9),ROUND(F198*G198,2),"")</f>
        <v/>
      </c>
      <c r="I198" s="48" t="str">
        <f>IF(AND(Creditos!$C$9&lt;&gt;"",Creditos!$M$9="OK",13&lt;=Creditos!$H$9),IF(13=Creditos!$H$9,F198+H198,MIN(Creditos!$O$9,F198+H198)),"")</f>
        <v/>
      </c>
      <c r="J198" s="48" t="str">
        <f>IF(AND(Creditos!$C$9&lt;&gt;"",Creditos!$M$9="OK",13&lt;=Creditos!$H$9),MIN(F198,MAX(0,I198-H198)),"")</f>
        <v/>
      </c>
      <c r="K198" s="48" t="str">
        <f>IF(AND(Creditos!$C$9&lt;&gt;"",Creditos!$M$9="OK",13&lt;=Creditos!$H$9),Creditos!$J$9+Creditos!$K$9,"")</f>
        <v/>
      </c>
      <c r="L198" s="48" t="str">
        <f>IF(AND(Creditos!$C$9&lt;&gt;"",Creditos!$M$9="OK",13&lt;=Creditos!$H$9),I198+K198,"")</f>
        <v/>
      </c>
      <c r="M198" s="48" t="str">
        <f>IF(AND(Creditos!$C$9&lt;&gt;"",Creditos!$M$9="OK",13&lt;=Creditos!$H$9),MAX(0,F198-J198),"")</f>
        <v/>
      </c>
      <c r="N198" s="48" t="str">
        <f>IF(AND(Creditos!$C$9&lt;&gt;"",Creditos!$M$9="OK",13&lt;=Creditos!$H$9),SUMIFS(Pagos!$F$6:$F$305,Pagos!$C$6:$C$305,C198,Pagos!$D$6:$D$305,D198,Pagos!$E$6:$E$305,"&lt;="&amp;Supuestos!$D$6,Pagos!$H$6:$H$305,"OK"),"")</f>
        <v/>
      </c>
      <c r="O198" s="48" t="str">
        <f>IF(AND(Creditos!$C$9&lt;&gt;"",Creditos!$M$9="OK",13&lt;=Creditos!$H$9),MIN(J198,MAX(0,N198-K198-H198)),"")</f>
        <v/>
      </c>
      <c r="P198" s="48" t="str">
        <f>IF(AND(Creditos!$C$9&lt;&gt;"",Creditos!$M$9="OK",13&lt;=Creditos!$H$9),MAX(0,L198-N198),"")</f>
        <v/>
      </c>
      <c r="Q198" s="50" t="str">
        <f>IF(AND(Creditos!$C$9&lt;&gt;"",Creditos!$M$9="OK",13&lt;=Creditos!$H$9),IF(AND(E198&lt;Supuestos!$D$6,P198&gt;0.005),Supuestos!$D$6-E198,0),"")</f>
        <v/>
      </c>
      <c r="R198" s="48" t="str">
        <f>IF(AND(Creditos!$C$9&lt;&gt;"",Creditos!$M$9="OK",13&lt;=Creditos!$H$9),MAX(0,N198-L198),"")</f>
        <v/>
      </c>
      <c r="S198" s="46" t="str">
        <f>IF(AND(Creditos!$C$9&lt;&gt;"",Creditos!$M$9="OK",13&lt;=Creditos!$H$9),IF(R198&gt;0.005,"Exceso sin imputar",IF(P198&lt;=0.005,"Pagada",IF(E198&lt;Supuestos!$D$6,"Vencida",IF(E198=Supuestos!$D$6,"Vence hoy","Por vencer")))),"")</f>
        <v/>
      </c>
      <c r="T198" s="46">
        <f>IF(AND(Creditos!$C$9&lt;&gt;"",Creditos!$M$9="OK",13&lt;=Creditos!$H$9),IF(P198&gt;0.005,E198,999999),999999)</f>
        <v>999999</v>
      </c>
    </row>
    <row r="199" ht="25.5" customHeight="1">
      <c r="C199" s="46" t="str">
        <f>IF(AND(Creditos!$C$9&lt;&gt;"",Creditos!$M$9="OK",14&lt;=Creditos!$H$9),Creditos!$C$9,"")</f>
        <v/>
      </c>
      <c r="D199" s="46" t="str">
        <f>IF(AND(Creditos!$C$9&lt;&gt;"",Creditos!$M$9="OK",14&lt;=Creditos!$H$9),14,"")</f>
        <v/>
      </c>
      <c r="E199" s="47" t="str">
        <f>IF(AND(Creditos!$C$9&lt;&gt;"",Creditos!$M$9="OK",14&lt;=Creditos!$H$9),EDATE(Creditos!$I$9,13),"")</f>
        <v/>
      </c>
      <c r="F199" s="48" t="str">
        <f>IF(AND(Creditos!$C$9&lt;&gt;"",Creditos!$M$9="OK",14&lt;=Creditos!$H$9),M198,"")</f>
        <v/>
      </c>
      <c r="G199" s="49" t="str">
        <f>IF(AND(Creditos!$C$9&lt;&gt;"",Creditos!$M$9="OK",14&lt;=Creditos!$H$9),Creditos!$N$9,"")</f>
        <v/>
      </c>
      <c r="H199" s="48" t="str">
        <f>IF(AND(Creditos!$C$9&lt;&gt;"",Creditos!$M$9="OK",14&lt;=Creditos!$H$9),ROUND(F199*G199,2),"")</f>
        <v/>
      </c>
      <c r="I199" s="48" t="str">
        <f>IF(AND(Creditos!$C$9&lt;&gt;"",Creditos!$M$9="OK",14&lt;=Creditos!$H$9),IF(14=Creditos!$H$9,F199+H199,MIN(Creditos!$O$9,F199+H199)),"")</f>
        <v/>
      </c>
      <c r="J199" s="48" t="str">
        <f>IF(AND(Creditos!$C$9&lt;&gt;"",Creditos!$M$9="OK",14&lt;=Creditos!$H$9),MIN(F199,MAX(0,I199-H199)),"")</f>
        <v/>
      </c>
      <c r="K199" s="48" t="str">
        <f>IF(AND(Creditos!$C$9&lt;&gt;"",Creditos!$M$9="OK",14&lt;=Creditos!$H$9),Creditos!$J$9+Creditos!$K$9,"")</f>
        <v/>
      </c>
      <c r="L199" s="48" t="str">
        <f>IF(AND(Creditos!$C$9&lt;&gt;"",Creditos!$M$9="OK",14&lt;=Creditos!$H$9),I199+K199,"")</f>
        <v/>
      </c>
      <c r="M199" s="48" t="str">
        <f>IF(AND(Creditos!$C$9&lt;&gt;"",Creditos!$M$9="OK",14&lt;=Creditos!$H$9),MAX(0,F199-J199),"")</f>
        <v/>
      </c>
      <c r="N199" s="48" t="str">
        <f>IF(AND(Creditos!$C$9&lt;&gt;"",Creditos!$M$9="OK",14&lt;=Creditos!$H$9),SUMIFS(Pagos!$F$6:$F$305,Pagos!$C$6:$C$305,C199,Pagos!$D$6:$D$305,D199,Pagos!$E$6:$E$305,"&lt;="&amp;Supuestos!$D$6,Pagos!$H$6:$H$305,"OK"),"")</f>
        <v/>
      </c>
      <c r="O199" s="48" t="str">
        <f>IF(AND(Creditos!$C$9&lt;&gt;"",Creditos!$M$9="OK",14&lt;=Creditos!$H$9),MIN(J199,MAX(0,N199-K199-H199)),"")</f>
        <v/>
      </c>
      <c r="P199" s="48" t="str">
        <f>IF(AND(Creditos!$C$9&lt;&gt;"",Creditos!$M$9="OK",14&lt;=Creditos!$H$9),MAX(0,L199-N199),"")</f>
        <v/>
      </c>
      <c r="Q199" s="50" t="str">
        <f>IF(AND(Creditos!$C$9&lt;&gt;"",Creditos!$M$9="OK",14&lt;=Creditos!$H$9),IF(AND(E199&lt;Supuestos!$D$6,P199&gt;0.005),Supuestos!$D$6-E199,0),"")</f>
        <v/>
      </c>
      <c r="R199" s="48" t="str">
        <f>IF(AND(Creditos!$C$9&lt;&gt;"",Creditos!$M$9="OK",14&lt;=Creditos!$H$9),MAX(0,N199-L199),"")</f>
        <v/>
      </c>
      <c r="S199" s="46" t="str">
        <f>IF(AND(Creditos!$C$9&lt;&gt;"",Creditos!$M$9="OK",14&lt;=Creditos!$H$9),IF(R199&gt;0.005,"Exceso sin imputar",IF(P199&lt;=0.005,"Pagada",IF(E199&lt;Supuestos!$D$6,"Vencida",IF(E199=Supuestos!$D$6,"Vence hoy","Por vencer")))),"")</f>
        <v/>
      </c>
      <c r="T199" s="46">
        <f>IF(AND(Creditos!$C$9&lt;&gt;"",Creditos!$M$9="OK",14&lt;=Creditos!$H$9),IF(P199&gt;0.005,E199,999999),999999)</f>
        <v>999999</v>
      </c>
    </row>
    <row r="200" ht="25.5" customHeight="1">
      <c r="C200" s="46" t="str">
        <f>IF(AND(Creditos!$C$9&lt;&gt;"",Creditos!$M$9="OK",15&lt;=Creditos!$H$9),Creditos!$C$9,"")</f>
        <v/>
      </c>
      <c r="D200" s="46" t="str">
        <f>IF(AND(Creditos!$C$9&lt;&gt;"",Creditos!$M$9="OK",15&lt;=Creditos!$H$9),15,"")</f>
        <v/>
      </c>
      <c r="E200" s="47" t="str">
        <f>IF(AND(Creditos!$C$9&lt;&gt;"",Creditos!$M$9="OK",15&lt;=Creditos!$H$9),EDATE(Creditos!$I$9,14),"")</f>
        <v/>
      </c>
      <c r="F200" s="48" t="str">
        <f>IF(AND(Creditos!$C$9&lt;&gt;"",Creditos!$M$9="OK",15&lt;=Creditos!$H$9),M199,"")</f>
        <v/>
      </c>
      <c r="G200" s="49" t="str">
        <f>IF(AND(Creditos!$C$9&lt;&gt;"",Creditos!$M$9="OK",15&lt;=Creditos!$H$9),Creditos!$N$9,"")</f>
        <v/>
      </c>
      <c r="H200" s="48" t="str">
        <f>IF(AND(Creditos!$C$9&lt;&gt;"",Creditos!$M$9="OK",15&lt;=Creditos!$H$9),ROUND(F200*G200,2),"")</f>
        <v/>
      </c>
      <c r="I200" s="48" t="str">
        <f>IF(AND(Creditos!$C$9&lt;&gt;"",Creditos!$M$9="OK",15&lt;=Creditos!$H$9),IF(15=Creditos!$H$9,F200+H200,MIN(Creditos!$O$9,F200+H200)),"")</f>
        <v/>
      </c>
      <c r="J200" s="48" t="str">
        <f>IF(AND(Creditos!$C$9&lt;&gt;"",Creditos!$M$9="OK",15&lt;=Creditos!$H$9),MIN(F200,MAX(0,I200-H200)),"")</f>
        <v/>
      </c>
      <c r="K200" s="48" t="str">
        <f>IF(AND(Creditos!$C$9&lt;&gt;"",Creditos!$M$9="OK",15&lt;=Creditos!$H$9),Creditos!$J$9+Creditos!$K$9,"")</f>
        <v/>
      </c>
      <c r="L200" s="48" t="str">
        <f>IF(AND(Creditos!$C$9&lt;&gt;"",Creditos!$M$9="OK",15&lt;=Creditos!$H$9),I200+K200,"")</f>
        <v/>
      </c>
      <c r="M200" s="48" t="str">
        <f>IF(AND(Creditos!$C$9&lt;&gt;"",Creditos!$M$9="OK",15&lt;=Creditos!$H$9),MAX(0,F200-J200),"")</f>
        <v/>
      </c>
      <c r="N200" s="48" t="str">
        <f>IF(AND(Creditos!$C$9&lt;&gt;"",Creditos!$M$9="OK",15&lt;=Creditos!$H$9),SUMIFS(Pagos!$F$6:$F$305,Pagos!$C$6:$C$305,C200,Pagos!$D$6:$D$305,D200,Pagos!$E$6:$E$305,"&lt;="&amp;Supuestos!$D$6,Pagos!$H$6:$H$305,"OK"),"")</f>
        <v/>
      </c>
      <c r="O200" s="48" t="str">
        <f>IF(AND(Creditos!$C$9&lt;&gt;"",Creditos!$M$9="OK",15&lt;=Creditos!$H$9),MIN(J200,MAX(0,N200-K200-H200)),"")</f>
        <v/>
      </c>
      <c r="P200" s="48" t="str">
        <f>IF(AND(Creditos!$C$9&lt;&gt;"",Creditos!$M$9="OK",15&lt;=Creditos!$H$9),MAX(0,L200-N200),"")</f>
        <v/>
      </c>
      <c r="Q200" s="50" t="str">
        <f>IF(AND(Creditos!$C$9&lt;&gt;"",Creditos!$M$9="OK",15&lt;=Creditos!$H$9),IF(AND(E200&lt;Supuestos!$D$6,P200&gt;0.005),Supuestos!$D$6-E200,0),"")</f>
        <v/>
      </c>
      <c r="R200" s="48" t="str">
        <f>IF(AND(Creditos!$C$9&lt;&gt;"",Creditos!$M$9="OK",15&lt;=Creditos!$H$9),MAX(0,N200-L200),"")</f>
        <v/>
      </c>
      <c r="S200" s="46" t="str">
        <f>IF(AND(Creditos!$C$9&lt;&gt;"",Creditos!$M$9="OK",15&lt;=Creditos!$H$9),IF(R200&gt;0.005,"Exceso sin imputar",IF(P200&lt;=0.005,"Pagada",IF(E200&lt;Supuestos!$D$6,"Vencida",IF(E200=Supuestos!$D$6,"Vence hoy","Por vencer")))),"")</f>
        <v/>
      </c>
      <c r="T200" s="46">
        <f>IF(AND(Creditos!$C$9&lt;&gt;"",Creditos!$M$9="OK",15&lt;=Creditos!$H$9),IF(P200&gt;0.005,E200,999999),999999)</f>
        <v>999999</v>
      </c>
    </row>
    <row r="201" ht="25.5" customHeight="1">
      <c r="C201" s="46" t="str">
        <f>IF(AND(Creditos!$C$9&lt;&gt;"",Creditos!$M$9="OK",16&lt;=Creditos!$H$9),Creditos!$C$9,"")</f>
        <v/>
      </c>
      <c r="D201" s="46" t="str">
        <f>IF(AND(Creditos!$C$9&lt;&gt;"",Creditos!$M$9="OK",16&lt;=Creditos!$H$9),16,"")</f>
        <v/>
      </c>
      <c r="E201" s="47" t="str">
        <f>IF(AND(Creditos!$C$9&lt;&gt;"",Creditos!$M$9="OK",16&lt;=Creditos!$H$9),EDATE(Creditos!$I$9,15),"")</f>
        <v/>
      </c>
      <c r="F201" s="48" t="str">
        <f>IF(AND(Creditos!$C$9&lt;&gt;"",Creditos!$M$9="OK",16&lt;=Creditos!$H$9),M200,"")</f>
        <v/>
      </c>
      <c r="G201" s="49" t="str">
        <f>IF(AND(Creditos!$C$9&lt;&gt;"",Creditos!$M$9="OK",16&lt;=Creditos!$H$9),Creditos!$N$9,"")</f>
        <v/>
      </c>
      <c r="H201" s="48" t="str">
        <f>IF(AND(Creditos!$C$9&lt;&gt;"",Creditos!$M$9="OK",16&lt;=Creditos!$H$9),ROUND(F201*G201,2),"")</f>
        <v/>
      </c>
      <c r="I201" s="48" t="str">
        <f>IF(AND(Creditos!$C$9&lt;&gt;"",Creditos!$M$9="OK",16&lt;=Creditos!$H$9),IF(16=Creditos!$H$9,F201+H201,MIN(Creditos!$O$9,F201+H201)),"")</f>
        <v/>
      </c>
      <c r="J201" s="48" t="str">
        <f>IF(AND(Creditos!$C$9&lt;&gt;"",Creditos!$M$9="OK",16&lt;=Creditos!$H$9),MIN(F201,MAX(0,I201-H201)),"")</f>
        <v/>
      </c>
      <c r="K201" s="48" t="str">
        <f>IF(AND(Creditos!$C$9&lt;&gt;"",Creditos!$M$9="OK",16&lt;=Creditos!$H$9),Creditos!$J$9+Creditos!$K$9,"")</f>
        <v/>
      </c>
      <c r="L201" s="48" t="str">
        <f>IF(AND(Creditos!$C$9&lt;&gt;"",Creditos!$M$9="OK",16&lt;=Creditos!$H$9),I201+K201,"")</f>
        <v/>
      </c>
      <c r="M201" s="48" t="str">
        <f>IF(AND(Creditos!$C$9&lt;&gt;"",Creditos!$M$9="OK",16&lt;=Creditos!$H$9),MAX(0,F201-J201),"")</f>
        <v/>
      </c>
      <c r="N201" s="48" t="str">
        <f>IF(AND(Creditos!$C$9&lt;&gt;"",Creditos!$M$9="OK",16&lt;=Creditos!$H$9),SUMIFS(Pagos!$F$6:$F$305,Pagos!$C$6:$C$305,C201,Pagos!$D$6:$D$305,D201,Pagos!$E$6:$E$305,"&lt;="&amp;Supuestos!$D$6,Pagos!$H$6:$H$305,"OK"),"")</f>
        <v/>
      </c>
      <c r="O201" s="48" t="str">
        <f>IF(AND(Creditos!$C$9&lt;&gt;"",Creditos!$M$9="OK",16&lt;=Creditos!$H$9),MIN(J201,MAX(0,N201-K201-H201)),"")</f>
        <v/>
      </c>
      <c r="P201" s="48" t="str">
        <f>IF(AND(Creditos!$C$9&lt;&gt;"",Creditos!$M$9="OK",16&lt;=Creditos!$H$9),MAX(0,L201-N201),"")</f>
        <v/>
      </c>
      <c r="Q201" s="50" t="str">
        <f>IF(AND(Creditos!$C$9&lt;&gt;"",Creditos!$M$9="OK",16&lt;=Creditos!$H$9),IF(AND(E201&lt;Supuestos!$D$6,P201&gt;0.005),Supuestos!$D$6-E201,0),"")</f>
        <v/>
      </c>
      <c r="R201" s="48" t="str">
        <f>IF(AND(Creditos!$C$9&lt;&gt;"",Creditos!$M$9="OK",16&lt;=Creditos!$H$9),MAX(0,N201-L201),"")</f>
        <v/>
      </c>
      <c r="S201" s="46" t="str">
        <f>IF(AND(Creditos!$C$9&lt;&gt;"",Creditos!$M$9="OK",16&lt;=Creditos!$H$9),IF(R201&gt;0.005,"Exceso sin imputar",IF(P201&lt;=0.005,"Pagada",IF(E201&lt;Supuestos!$D$6,"Vencida",IF(E201=Supuestos!$D$6,"Vence hoy","Por vencer")))),"")</f>
        <v/>
      </c>
      <c r="T201" s="46">
        <f>IF(AND(Creditos!$C$9&lt;&gt;"",Creditos!$M$9="OK",16&lt;=Creditos!$H$9),IF(P201&gt;0.005,E201,999999),999999)</f>
        <v>999999</v>
      </c>
    </row>
    <row r="202" ht="25.5" customHeight="1">
      <c r="C202" s="46" t="str">
        <f>IF(AND(Creditos!$C$9&lt;&gt;"",Creditos!$M$9="OK",17&lt;=Creditos!$H$9),Creditos!$C$9,"")</f>
        <v/>
      </c>
      <c r="D202" s="46" t="str">
        <f>IF(AND(Creditos!$C$9&lt;&gt;"",Creditos!$M$9="OK",17&lt;=Creditos!$H$9),17,"")</f>
        <v/>
      </c>
      <c r="E202" s="47" t="str">
        <f>IF(AND(Creditos!$C$9&lt;&gt;"",Creditos!$M$9="OK",17&lt;=Creditos!$H$9),EDATE(Creditos!$I$9,16),"")</f>
        <v/>
      </c>
      <c r="F202" s="48" t="str">
        <f>IF(AND(Creditos!$C$9&lt;&gt;"",Creditos!$M$9="OK",17&lt;=Creditos!$H$9),M201,"")</f>
        <v/>
      </c>
      <c r="G202" s="49" t="str">
        <f>IF(AND(Creditos!$C$9&lt;&gt;"",Creditos!$M$9="OK",17&lt;=Creditos!$H$9),Creditos!$N$9,"")</f>
        <v/>
      </c>
      <c r="H202" s="48" t="str">
        <f>IF(AND(Creditos!$C$9&lt;&gt;"",Creditos!$M$9="OK",17&lt;=Creditos!$H$9),ROUND(F202*G202,2),"")</f>
        <v/>
      </c>
      <c r="I202" s="48" t="str">
        <f>IF(AND(Creditos!$C$9&lt;&gt;"",Creditos!$M$9="OK",17&lt;=Creditos!$H$9),IF(17=Creditos!$H$9,F202+H202,MIN(Creditos!$O$9,F202+H202)),"")</f>
        <v/>
      </c>
      <c r="J202" s="48" t="str">
        <f>IF(AND(Creditos!$C$9&lt;&gt;"",Creditos!$M$9="OK",17&lt;=Creditos!$H$9),MIN(F202,MAX(0,I202-H202)),"")</f>
        <v/>
      </c>
      <c r="K202" s="48" t="str">
        <f>IF(AND(Creditos!$C$9&lt;&gt;"",Creditos!$M$9="OK",17&lt;=Creditos!$H$9),Creditos!$J$9+Creditos!$K$9,"")</f>
        <v/>
      </c>
      <c r="L202" s="48" t="str">
        <f>IF(AND(Creditos!$C$9&lt;&gt;"",Creditos!$M$9="OK",17&lt;=Creditos!$H$9),I202+K202,"")</f>
        <v/>
      </c>
      <c r="M202" s="48" t="str">
        <f>IF(AND(Creditos!$C$9&lt;&gt;"",Creditos!$M$9="OK",17&lt;=Creditos!$H$9),MAX(0,F202-J202),"")</f>
        <v/>
      </c>
      <c r="N202" s="48" t="str">
        <f>IF(AND(Creditos!$C$9&lt;&gt;"",Creditos!$M$9="OK",17&lt;=Creditos!$H$9),SUMIFS(Pagos!$F$6:$F$305,Pagos!$C$6:$C$305,C202,Pagos!$D$6:$D$305,D202,Pagos!$E$6:$E$305,"&lt;="&amp;Supuestos!$D$6,Pagos!$H$6:$H$305,"OK"),"")</f>
        <v/>
      </c>
      <c r="O202" s="48" t="str">
        <f>IF(AND(Creditos!$C$9&lt;&gt;"",Creditos!$M$9="OK",17&lt;=Creditos!$H$9),MIN(J202,MAX(0,N202-K202-H202)),"")</f>
        <v/>
      </c>
      <c r="P202" s="48" t="str">
        <f>IF(AND(Creditos!$C$9&lt;&gt;"",Creditos!$M$9="OK",17&lt;=Creditos!$H$9),MAX(0,L202-N202),"")</f>
        <v/>
      </c>
      <c r="Q202" s="50" t="str">
        <f>IF(AND(Creditos!$C$9&lt;&gt;"",Creditos!$M$9="OK",17&lt;=Creditos!$H$9),IF(AND(E202&lt;Supuestos!$D$6,P202&gt;0.005),Supuestos!$D$6-E202,0),"")</f>
        <v/>
      </c>
      <c r="R202" s="48" t="str">
        <f>IF(AND(Creditos!$C$9&lt;&gt;"",Creditos!$M$9="OK",17&lt;=Creditos!$H$9),MAX(0,N202-L202),"")</f>
        <v/>
      </c>
      <c r="S202" s="46" t="str">
        <f>IF(AND(Creditos!$C$9&lt;&gt;"",Creditos!$M$9="OK",17&lt;=Creditos!$H$9),IF(R202&gt;0.005,"Exceso sin imputar",IF(P202&lt;=0.005,"Pagada",IF(E202&lt;Supuestos!$D$6,"Vencida",IF(E202=Supuestos!$D$6,"Vence hoy","Por vencer")))),"")</f>
        <v/>
      </c>
      <c r="T202" s="46">
        <f>IF(AND(Creditos!$C$9&lt;&gt;"",Creditos!$M$9="OK",17&lt;=Creditos!$H$9),IF(P202&gt;0.005,E202,999999),999999)</f>
        <v>999999</v>
      </c>
    </row>
    <row r="203" ht="25.5" customHeight="1">
      <c r="C203" s="46" t="str">
        <f>IF(AND(Creditos!$C$9&lt;&gt;"",Creditos!$M$9="OK",18&lt;=Creditos!$H$9),Creditos!$C$9,"")</f>
        <v/>
      </c>
      <c r="D203" s="46" t="str">
        <f>IF(AND(Creditos!$C$9&lt;&gt;"",Creditos!$M$9="OK",18&lt;=Creditos!$H$9),18,"")</f>
        <v/>
      </c>
      <c r="E203" s="47" t="str">
        <f>IF(AND(Creditos!$C$9&lt;&gt;"",Creditos!$M$9="OK",18&lt;=Creditos!$H$9),EDATE(Creditos!$I$9,17),"")</f>
        <v/>
      </c>
      <c r="F203" s="48" t="str">
        <f>IF(AND(Creditos!$C$9&lt;&gt;"",Creditos!$M$9="OK",18&lt;=Creditos!$H$9),M202,"")</f>
        <v/>
      </c>
      <c r="G203" s="49" t="str">
        <f>IF(AND(Creditos!$C$9&lt;&gt;"",Creditos!$M$9="OK",18&lt;=Creditos!$H$9),Creditos!$N$9,"")</f>
        <v/>
      </c>
      <c r="H203" s="48" t="str">
        <f>IF(AND(Creditos!$C$9&lt;&gt;"",Creditos!$M$9="OK",18&lt;=Creditos!$H$9),ROUND(F203*G203,2),"")</f>
        <v/>
      </c>
      <c r="I203" s="48" t="str">
        <f>IF(AND(Creditos!$C$9&lt;&gt;"",Creditos!$M$9="OK",18&lt;=Creditos!$H$9),IF(18=Creditos!$H$9,F203+H203,MIN(Creditos!$O$9,F203+H203)),"")</f>
        <v/>
      </c>
      <c r="J203" s="48" t="str">
        <f>IF(AND(Creditos!$C$9&lt;&gt;"",Creditos!$M$9="OK",18&lt;=Creditos!$H$9),MIN(F203,MAX(0,I203-H203)),"")</f>
        <v/>
      </c>
      <c r="K203" s="48" t="str">
        <f>IF(AND(Creditos!$C$9&lt;&gt;"",Creditos!$M$9="OK",18&lt;=Creditos!$H$9),Creditos!$J$9+Creditos!$K$9,"")</f>
        <v/>
      </c>
      <c r="L203" s="48" t="str">
        <f>IF(AND(Creditos!$C$9&lt;&gt;"",Creditos!$M$9="OK",18&lt;=Creditos!$H$9),I203+K203,"")</f>
        <v/>
      </c>
      <c r="M203" s="48" t="str">
        <f>IF(AND(Creditos!$C$9&lt;&gt;"",Creditos!$M$9="OK",18&lt;=Creditos!$H$9),MAX(0,F203-J203),"")</f>
        <v/>
      </c>
      <c r="N203" s="48" t="str">
        <f>IF(AND(Creditos!$C$9&lt;&gt;"",Creditos!$M$9="OK",18&lt;=Creditos!$H$9),SUMIFS(Pagos!$F$6:$F$305,Pagos!$C$6:$C$305,C203,Pagos!$D$6:$D$305,D203,Pagos!$E$6:$E$305,"&lt;="&amp;Supuestos!$D$6,Pagos!$H$6:$H$305,"OK"),"")</f>
        <v/>
      </c>
      <c r="O203" s="48" t="str">
        <f>IF(AND(Creditos!$C$9&lt;&gt;"",Creditos!$M$9="OK",18&lt;=Creditos!$H$9),MIN(J203,MAX(0,N203-K203-H203)),"")</f>
        <v/>
      </c>
      <c r="P203" s="48" t="str">
        <f>IF(AND(Creditos!$C$9&lt;&gt;"",Creditos!$M$9="OK",18&lt;=Creditos!$H$9),MAX(0,L203-N203),"")</f>
        <v/>
      </c>
      <c r="Q203" s="50" t="str">
        <f>IF(AND(Creditos!$C$9&lt;&gt;"",Creditos!$M$9="OK",18&lt;=Creditos!$H$9),IF(AND(E203&lt;Supuestos!$D$6,P203&gt;0.005),Supuestos!$D$6-E203,0),"")</f>
        <v/>
      </c>
      <c r="R203" s="48" t="str">
        <f>IF(AND(Creditos!$C$9&lt;&gt;"",Creditos!$M$9="OK",18&lt;=Creditos!$H$9),MAX(0,N203-L203),"")</f>
        <v/>
      </c>
      <c r="S203" s="46" t="str">
        <f>IF(AND(Creditos!$C$9&lt;&gt;"",Creditos!$M$9="OK",18&lt;=Creditos!$H$9),IF(R203&gt;0.005,"Exceso sin imputar",IF(P203&lt;=0.005,"Pagada",IF(E203&lt;Supuestos!$D$6,"Vencida",IF(E203=Supuestos!$D$6,"Vence hoy","Por vencer")))),"")</f>
        <v/>
      </c>
      <c r="T203" s="46">
        <f>IF(AND(Creditos!$C$9&lt;&gt;"",Creditos!$M$9="OK",18&lt;=Creditos!$H$9),IF(P203&gt;0.005,E203,999999),999999)</f>
        <v>999999</v>
      </c>
    </row>
    <row r="204" ht="25.5" customHeight="1">
      <c r="C204" s="46" t="str">
        <f>IF(AND(Creditos!$C$9&lt;&gt;"",Creditos!$M$9="OK",19&lt;=Creditos!$H$9),Creditos!$C$9,"")</f>
        <v/>
      </c>
      <c r="D204" s="46" t="str">
        <f>IF(AND(Creditos!$C$9&lt;&gt;"",Creditos!$M$9="OK",19&lt;=Creditos!$H$9),19,"")</f>
        <v/>
      </c>
      <c r="E204" s="47" t="str">
        <f>IF(AND(Creditos!$C$9&lt;&gt;"",Creditos!$M$9="OK",19&lt;=Creditos!$H$9),EDATE(Creditos!$I$9,18),"")</f>
        <v/>
      </c>
      <c r="F204" s="48" t="str">
        <f>IF(AND(Creditos!$C$9&lt;&gt;"",Creditos!$M$9="OK",19&lt;=Creditos!$H$9),M203,"")</f>
        <v/>
      </c>
      <c r="G204" s="49" t="str">
        <f>IF(AND(Creditos!$C$9&lt;&gt;"",Creditos!$M$9="OK",19&lt;=Creditos!$H$9),Creditos!$N$9,"")</f>
        <v/>
      </c>
      <c r="H204" s="48" t="str">
        <f>IF(AND(Creditos!$C$9&lt;&gt;"",Creditos!$M$9="OK",19&lt;=Creditos!$H$9),ROUND(F204*G204,2),"")</f>
        <v/>
      </c>
      <c r="I204" s="48" t="str">
        <f>IF(AND(Creditos!$C$9&lt;&gt;"",Creditos!$M$9="OK",19&lt;=Creditos!$H$9),IF(19=Creditos!$H$9,F204+H204,MIN(Creditos!$O$9,F204+H204)),"")</f>
        <v/>
      </c>
      <c r="J204" s="48" t="str">
        <f>IF(AND(Creditos!$C$9&lt;&gt;"",Creditos!$M$9="OK",19&lt;=Creditos!$H$9),MIN(F204,MAX(0,I204-H204)),"")</f>
        <v/>
      </c>
      <c r="K204" s="48" t="str">
        <f>IF(AND(Creditos!$C$9&lt;&gt;"",Creditos!$M$9="OK",19&lt;=Creditos!$H$9),Creditos!$J$9+Creditos!$K$9,"")</f>
        <v/>
      </c>
      <c r="L204" s="48" t="str">
        <f>IF(AND(Creditos!$C$9&lt;&gt;"",Creditos!$M$9="OK",19&lt;=Creditos!$H$9),I204+K204,"")</f>
        <v/>
      </c>
      <c r="M204" s="48" t="str">
        <f>IF(AND(Creditos!$C$9&lt;&gt;"",Creditos!$M$9="OK",19&lt;=Creditos!$H$9),MAX(0,F204-J204),"")</f>
        <v/>
      </c>
      <c r="N204" s="48" t="str">
        <f>IF(AND(Creditos!$C$9&lt;&gt;"",Creditos!$M$9="OK",19&lt;=Creditos!$H$9),SUMIFS(Pagos!$F$6:$F$305,Pagos!$C$6:$C$305,C204,Pagos!$D$6:$D$305,D204,Pagos!$E$6:$E$305,"&lt;="&amp;Supuestos!$D$6,Pagos!$H$6:$H$305,"OK"),"")</f>
        <v/>
      </c>
      <c r="O204" s="48" t="str">
        <f>IF(AND(Creditos!$C$9&lt;&gt;"",Creditos!$M$9="OK",19&lt;=Creditos!$H$9),MIN(J204,MAX(0,N204-K204-H204)),"")</f>
        <v/>
      </c>
      <c r="P204" s="48" t="str">
        <f>IF(AND(Creditos!$C$9&lt;&gt;"",Creditos!$M$9="OK",19&lt;=Creditos!$H$9),MAX(0,L204-N204),"")</f>
        <v/>
      </c>
      <c r="Q204" s="50" t="str">
        <f>IF(AND(Creditos!$C$9&lt;&gt;"",Creditos!$M$9="OK",19&lt;=Creditos!$H$9),IF(AND(E204&lt;Supuestos!$D$6,P204&gt;0.005),Supuestos!$D$6-E204,0),"")</f>
        <v/>
      </c>
      <c r="R204" s="48" t="str">
        <f>IF(AND(Creditos!$C$9&lt;&gt;"",Creditos!$M$9="OK",19&lt;=Creditos!$H$9),MAX(0,N204-L204),"")</f>
        <v/>
      </c>
      <c r="S204" s="46" t="str">
        <f>IF(AND(Creditos!$C$9&lt;&gt;"",Creditos!$M$9="OK",19&lt;=Creditos!$H$9),IF(R204&gt;0.005,"Exceso sin imputar",IF(P204&lt;=0.005,"Pagada",IF(E204&lt;Supuestos!$D$6,"Vencida",IF(E204=Supuestos!$D$6,"Vence hoy","Por vencer")))),"")</f>
        <v/>
      </c>
      <c r="T204" s="46">
        <f>IF(AND(Creditos!$C$9&lt;&gt;"",Creditos!$M$9="OK",19&lt;=Creditos!$H$9),IF(P204&gt;0.005,E204,999999),999999)</f>
        <v>999999</v>
      </c>
    </row>
    <row r="205" ht="25.5" customHeight="1">
      <c r="C205" s="46" t="str">
        <f>IF(AND(Creditos!$C$9&lt;&gt;"",Creditos!$M$9="OK",20&lt;=Creditos!$H$9),Creditos!$C$9,"")</f>
        <v/>
      </c>
      <c r="D205" s="46" t="str">
        <f>IF(AND(Creditos!$C$9&lt;&gt;"",Creditos!$M$9="OK",20&lt;=Creditos!$H$9),20,"")</f>
        <v/>
      </c>
      <c r="E205" s="47" t="str">
        <f>IF(AND(Creditos!$C$9&lt;&gt;"",Creditos!$M$9="OK",20&lt;=Creditos!$H$9),EDATE(Creditos!$I$9,19),"")</f>
        <v/>
      </c>
      <c r="F205" s="48" t="str">
        <f>IF(AND(Creditos!$C$9&lt;&gt;"",Creditos!$M$9="OK",20&lt;=Creditos!$H$9),M204,"")</f>
        <v/>
      </c>
      <c r="G205" s="49" t="str">
        <f>IF(AND(Creditos!$C$9&lt;&gt;"",Creditos!$M$9="OK",20&lt;=Creditos!$H$9),Creditos!$N$9,"")</f>
        <v/>
      </c>
      <c r="H205" s="48" t="str">
        <f>IF(AND(Creditos!$C$9&lt;&gt;"",Creditos!$M$9="OK",20&lt;=Creditos!$H$9),ROUND(F205*G205,2),"")</f>
        <v/>
      </c>
      <c r="I205" s="48" t="str">
        <f>IF(AND(Creditos!$C$9&lt;&gt;"",Creditos!$M$9="OK",20&lt;=Creditos!$H$9),IF(20=Creditos!$H$9,F205+H205,MIN(Creditos!$O$9,F205+H205)),"")</f>
        <v/>
      </c>
      <c r="J205" s="48" t="str">
        <f>IF(AND(Creditos!$C$9&lt;&gt;"",Creditos!$M$9="OK",20&lt;=Creditos!$H$9),MIN(F205,MAX(0,I205-H205)),"")</f>
        <v/>
      </c>
      <c r="K205" s="48" t="str">
        <f>IF(AND(Creditos!$C$9&lt;&gt;"",Creditos!$M$9="OK",20&lt;=Creditos!$H$9),Creditos!$J$9+Creditos!$K$9,"")</f>
        <v/>
      </c>
      <c r="L205" s="48" t="str">
        <f>IF(AND(Creditos!$C$9&lt;&gt;"",Creditos!$M$9="OK",20&lt;=Creditos!$H$9),I205+K205,"")</f>
        <v/>
      </c>
      <c r="M205" s="48" t="str">
        <f>IF(AND(Creditos!$C$9&lt;&gt;"",Creditos!$M$9="OK",20&lt;=Creditos!$H$9),MAX(0,F205-J205),"")</f>
        <v/>
      </c>
      <c r="N205" s="48" t="str">
        <f>IF(AND(Creditos!$C$9&lt;&gt;"",Creditos!$M$9="OK",20&lt;=Creditos!$H$9),SUMIFS(Pagos!$F$6:$F$305,Pagos!$C$6:$C$305,C205,Pagos!$D$6:$D$305,D205,Pagos!$E$6:$E$305,"&lt;="&amp;Supuestos!$D$6,Pagos!$H$6:$H$305,"OK"),"")</f>
        <v/>
      </c>
      <c r="O205" s="48" t="str">
        <f>IF(AND(Creditos!$C$9&lt;&gt;"",Creditos!$M$9="OK",20&lt;=Creditos!$H$9),MIN(J205,MAX(0,N205-K205-H205)),"")</f>
        <v/>
      </c>
      <c r="P205" s="48" t="str">
        <f>IF(AND(Creditos!$C$9&lt;&gt;"",Creditos!$M$9="OK",20&lt;=Creditos!$H$9),MAX(0,L205-N205),"")</f>
        <v/>
      </c>
      <c r="Q205" s="50" t="str">
        <f>IF(AND(Creditos!$C$9&lt;&gt;"",Creditos!$M$9="OK",20&lt;=Creditos!$H$9),IF(AND(E205&lt;Supuestos!$D$6,P205&gt;0.005),Supuestos!$D$6-E205,0),"")</f>
        <v/>
      </c>
      <c r="R205" s="48" t="str">
        <f>IF(AND(Creditos!$C$9&lt;&gt;"",Creditos!$M$9="OK",20&lt;=Creditos!$H$9),MAX(0,N205-L205),"")</f>
        <v/>
      </c>
      <c r="S205" s="46" t="str">
        <f>IF(AND(Creditos!$C$9&lt;&gt;"",Creditos!$M$9="OK",20&lt;=Creditos!$H$9),IF(R205&gt;0.005,"Exceso sin imputar",IF(P205&lt;=0.005,"Pagada",IF(E205&lt;Supuestos!$D$6,"Vencida",IF(E205=Supuestos!$D$6,"Vence hoy","Por vencer")))),"")</f>
        <v/>
      </c>
      <c r="T205" s="46">
        <f>IF(AND(Creditos!$C$9&lt;&gt;"",Creditos!$M$9="OK",20&lt;=Creditos!$H$9),IF(P205&gt;0.005,E205,999999),999999)</f>
        <v>999999</v>
      </c>
    </row>
    <row r="206" ht="25.5" customHeight="1">
      <c r="C206" s="46" t="str">
        <f>IF(AND(Creditos!$C$9&lt;&gt;"",Creditos!$M$9="OK",21&lt;=Creditos!$H$9),Creditos!$C$9,"")</f>
        <v/>
      </c>
      <c r="D206" s="46" t="str">
        <f>IF(AND(Creditos!$C$9&lt;&gt;"",Creditos!$M$9="OK",21&lt;=Creditos!$H$9),21,"")</f>
        <v/>
      </c>
      <c r="E206" s="47" t="str">
        <f>IF(AND(Creditos!$C$9&lt;&gt;"",Creditos!$M$9="OK",21&lt;=Creditos!$H$9),EDATE(Creditos!$I$9,20),"")</f>
        <v/>
      </c>
      <c r="F206" s="48" t="str">
        <f>IF(AND(Creditos!$C$9&lt;&gt;"",Creditos!$M$9="OK",21&lt;=Creditos!$H$9),M205,"")</f>
        <v/>
      </c>
      <c r="G206" s="49" t="str">
        <f>IF(AND(Creditos!$C$9&lt;&gt;"",Creditos!$M$9="OK",21&lt;=Creditos!$H$9),Creditos!$N$9,"")</f>
        <v/>
      </c>
      <c r="H206" s="48" t="str">
        <f>IF(AND(Creditos!$C$9&lt;&gt;"",Creditos!$M$9="OK",21&lt;=Creditos!$H$9),ROUND(F206*G206,2),"")</f>
        <v/>
      </c>
      <c r="I206" s="48" t="str">
        <f>IF(AND(Creditos!$C$9&lt;&gt;"",Creditos!$M$9="OK",21&lt;=Creditos!$H$9),IF(21=Creditos!$H$9,F206+H206,MIN(Creditos!$O$9,F206+H206)),"")</f>
        <v/>
      </c>
      <c r="J206" s="48" t="str">
        <f>IF(AND(Creditos!$C$9&lt;&gt;"",Creditos!$M$9="OK",21&lt;=Creditos!$H$9),MIN(F206,MAX(0,I206-H206)),"")</f>
        <v/>
      </c>
      <c r="K206" s="48" t="str">
        <f>IF(AND(Creditos!$C$9&lt;&gt;"",Creditos!$M$9="OK",21&lt;=Creditos!$H$9),Creditos!$J$9+Creditos!$K$9,"")</f>
        <v/>
      </c>
      <c r="L206" s="48" t="str">
        <f>IF(AND(Creditos!$C$9&lt;&gt;"",Creditos!$M$9="OK",21&lt;=Creditos!$H$9),I206+K206,"")</f>
        <v/>
      </c>
      <c r="M206" s="48" t="str">
        <f>IF(AND(Creditos!$C$9&lt;&gt;"",Creditos!$M$9="OK",21&lt;=Creditos!$H$9),MAX(0,F206-J206),"")</f>
        <v/>
      </c>
      <c r="N206" s="48" t="str">
        <f>IF(AND(Creditos!$C$9&lt;&gt;"",Creditos!$M$9="OK",21&lt;=Creditos!$H$9),SUMIFS(Pagos!$F$6:$F$305,Pagos!$C$6:$C$305,C206,Pagos!$D$6:$D$305,D206,Pagos!$E$6:$E$305,"&lt;="&amp;Supuestos!$D$6,Pagos!$H$6:$H$305,"OK"),"")</f>
        <v/>
      </c>
      <c r="O206" s="48" t="str">
        <f>IF(AND(Creditos!$C$9&lt;&gt;"",Creditos!$M$9="OK",21&lt;=Creditos!$H$9),MIN(J206,MAX(0,N206-K206-H206)),"")</f>
        <v/>
      </c>
      <c r="P206" s="48" t="str">
        <f>IF(AND(Creditos!$C$9&lt;&gt;"",Creditos!$M$9="OK",21&lt;=Creditos!$H$9),MAX(0,L206-N206),"")</f>
        <v/>
      </c>
      <c r="Q206" s="50" t="str">
        <f>IF(AND(Creditos!$C$9&lt;&gt;"",Creditos!$M$9="OK",21&lt;=Creditos!$H$9),IF(AND(E206&lt;Supuestos!$D$6,P206&gt;0.005),Supuestos!$D$6-E206,0),"")</f>
        <v/>
      </c>
      <c r="R206" s="48" t="str">
        <f>IF(AND(Creditos!$C$9&lt;&gt;"",Creditos!$M$9="OK",21&lt;=Creditos!$H$9),MAX(0,N206-L206),"")</f>
        <v/>
      </c>
      <c r="S206" s="46" t="str">
        <f>IF(AND(Creditos!$C$9&lt;&gt;"",Creditos!$M$9="OK",21&lt;=Creditos!$H$9),IF(R206&gt;0.005,"Exceso sin imputar",IF(P206&lt;=0.005,"Pagada",IF(E206&lt;Supuestos!$D$6,"Vencida",IF(E206=Supuestos!$D$6,"Vence hoy","Por vencer")))),"")</f>
        <v/>
      </c>
      <c r="T206" s="46">
        <f>IF(AND(Creditos!$C$9&lt;&gt;"",Creditos!$M$9="OK",21&lt;=Creditos!$H$9),IF(P206&gt;0.005,E206,999999),999999)</f>
        <v>999999</v>
      </c>
    </row>
    <row r="207" ht="25.5" customHeight="1">
      <c r="C207" s="46" t="str">
        <f>IF(AND(Creditos!$C$9&lt;&gt;"",Creditos!$M$9="OK",22&lt;=Creditos!$H$9),Creditos!$C$9,"")</f>
        <v/>
      </c>
      <c r="D207" s="46" t="str">
        <f>IF(AND(Creditos!$C$9&lt;&gt;"",Creditos!$M$9="OK",22&lt;=Creditos!$H$9),22,"")</f>
        <v/>
      </c>
      <c r="E207" s="47" t="str">
        <f>IF(AND(Creditos!$C$9&lt;&gt;"",Creditos!$M$9="OK",22&lt;=Creditos!$H$9),EDATE(Creditos!$I$9,21),"")</f>
        <v/>
      </c>
      <c r="F207" s="48" t="str">
        <f>IF(AND(Creditos!$C$9&lt;&gt;"",Creditos!$M$9="OK",22&lt;=Creditos!$H$9),M206,"")</f>
        <v/>
      </c>
      <c r="G207" s="49" t="str">
        <f>IF(AND(Creditos!$C$9&lt;&gt;"",Creditos!$M$9="OK",22&lt;=Creditos!$H$9),Creditos!$N$9,"")</f>
        <v/>
      </c>
      <c r="H207" s="48" t="str">
        <f>IF(AND(Creditos!$C$9&lt;&gt;"",Creditos!$M$9="OK",22&lt;=Creditos!$H$9),ROUND(F207*G207,2),"")</f>
        <v/>
      </c>
      <c r="I207" s="48" t="str">
        <f>IF(AND(Creditos!$C$9&lt;&gt;"",Creditos!$M$9="OK",22&lt;=Creditos!$H$9),IF(22=Creditos!$H$9,F207+H207,MIN(Creditos!$O$9,F207+H207)),"")</f>
        <v/>
      </c>
      <c r="J207" s="48" t="str">
        <f>IF(AND(Creditos!$C$9&lt;&gt;"",Creditos!$M$9="OK",22&lt;=Creditos!$H$9),MIN(F207,MAX(0,I207-H207)),"")</f>
        <v/>
      </c>
      <c r="K207" s="48" t="str">
        <f>IF(AND(Creditos!$C$9&lt;&gt;"",Creditos!$M$9="OK",22&lt;=Creditos!$H$9),Creditos!$J$9+Creditos!$K$9,"")</f>
        <v/>
      </c>
      <c r="L207" s="48" t="str">
        <f>IF(AND(Creditos!$C$9&lt;&gt;"",Creditos!$M$9="OK",22&lt;=Creditos!$H$9),I207+K207,"")</f>
        <v/>
      </c>
      <c r="M207" s="48" t="str">
        <f>IF(AND(Creditos!$C$9&lt;&gt;"",Creditos!$M$9="OK",22&lt;=Creditos!$H$9),MAX(0,F207-J207),"")</f>
        <v/>
      </c>
      <c r="N207" s="48" t="str">
        <f>IF(AND(Creditos!$C$9&lt;&gt;"",Creditos!$M$9="OK",22&lt;=Creditos!$H$9),SUMIFS(Pagos!$F$6:$F$305,Pagos!$C$6:$C$305,C207,Pagos!$D$6:$D$305,D207,Pagos!$E$6:$E$305,"&lt;="&amp;Supuestos!$D$6,Pagos!$H$6:$H$305,"OK"),"")</f>
        <v/>
      </c>
      <c r="O207" s="48" t="str">
        <f>IF(AND(Creditos!$C$9&lt;&gt;"",Creditos!$M$9="OK",22&lt;=Creditos!$H$9),MIN(J207,MAX(0,N207-K207-H207)),"")</f>
        <v/>
      </c>
      <c r="P207" s="48" t="str">
        <f>IF(AND(Creditos!$C$9&lt;&gt;"",Creditos!$M$9="OK",22&lt;=Creditos!$H$9),MAX(0,L207-N207),"")</f>
        <v/>
      </c>
      <c r="Q207" s="50" t="str">
        <f>IF(AND(Creditos!$C$9&lt;&gt;"",Creditos!$M$9="OK",22&lt;=Creditos!$H$9),IF(AND(E207&lt;Supuestos!$D$6,P207&gt;0.005),Supuestos!$D$6-E207,0),"")</f>
        <v/>
      </c>
      <c r="R207" s="48" t="str">
        <f>IF(AND(Creditos!$C$9&lt;&gt;"",Creditos!$M$9="OK",22&lt;=Creditos!$H$9),MAX(0,N207-L207),"")</f>
        <v/>
      </c>
      <c r="S207" s="46" t="str">
        <f>IF(AND(Creditos!$C$9&lt;&gt;"",Creditos!$M$9="OK",22&lt;=Creditos!$H$9),IF(R207&gt;0.005,"Exceso sin imputar",IF(P207&lt;=0.005,"Pagada",IF(E207&lt;Supuestos!$D$6,"Vencida",IF(E207=Supuestos!$D$6,"Vence hoy","Por vencer")))),"")</f>
        <v/>
      </c>
      <c r="T207" s="46">
        <f>IF(AND(Creditos!$C$9&lt;&gt;"",Creditos!$M$9="OK",22&lt;=Creditos!$H$9),IF(P207&gt;0.005,E207,999999),999999)</f>
        <v>999999</v>
      </c>
    </row>
    <row r="208" ht="25.5" customHeight="1">
      <c r="C208" s="46" t="str">
        <f>IF(AND(Creditos!$C$9&lt;&gt;"",Creditos!$M$9="OK",23&lt;=Creditos!$H$9),Creditos!$C$9,"")</f>
        <v/>
      </c>
      <c r="D208" s="46" t="str">
        <f>IF(AND(Creditos!$C$9&lt;&gt;"",Creditos!$M$9="OK",23&lt;=Creditos!$H$9),23,"")</f>
        <v/>
      </c>
      <c r="E208" s="47" t="str">
        <f>IF(AND(Creditos!$C$9&lt;&gt;"",Creditos!$M$9="OK",23&lt;=Creditos!$H$9),EDATE(Creditos!$I$9,22),"")</f>
        <v/>
      </c>
      <c r="F208" s="48" t="str">
        <f>IF(AND(Creditos!$C$9&lt;&gt;"",Creditos!$M$9="OK",23&lt;=Creditos!$H$9),M207,"")</f>
        <v/>
      </c>
      <c r="G208" s="49" t="str">
        <f>IF(AND(Creditos!$C$9&lt;&gt;"",Creditos!$M$9="OK",23&lt;=Creditos!$H$9),Creditos!$N$9,"")</f>
        <v/>
      </c>
      <c r="H208" s="48" t="str">
        <f>IF(AND(Creditos!$C$9&lt;&gt;"",Creditos!$M$9="OK",23&lt;=Creditos!$H$9),ROUND(F208*G208,2),"")</f>
        <v/>
      </c>
      <c r="I208" s="48" t="str">
        <f>IF(AND(Creditos!$C$9&lt;&gt;"",Creditos!$M$9="OK",23&lt;=Creditos!$H$9),IF(23=Creditos!$H$9,F208+H208,MIN(Creditos!$O$9,F208+H208)),"")</f>
        <v/>
      </c>
      <c r="J208" s="48" t="str">
        <f>IF(AND(Creditos!$C$9&lt;&gt;"",Creditos!$M$9="OK",23&lt;=Creditos!$H$9),MIN(F208,MAX(0,I208-H208)),"")</f>
        <v/>
      </c>
      <c r="K208" s="48" t="str">
        <f>IF(AND(Creditos!$C$9&lt;&gt;"",Creditos!$M$9="OK",23&lt;=Creditos!$H$9),Creditos!$J$9+Creditos!$K$9,"")</f>
        <v/>
      </c>
      <c r="L208" s="48" t="str">
        <f>IF(AND(Creditos!$C$9&lt;&gt;"",Creditos!$M$9="OK",23&lt;=Creditos!$H$9),I208+K208,"")</f>
        <v/>
      </c>
      <c r="M208" s="48" t="str">
        <f>IF(AND(Creditos!$C$9&lt;&gt;"",Creditos!$M$9="OK",23&lt;=Creditos!$H$9),MAX(0,F208-J208),"")</f>
        <v/>
      </c>
      <c r="N208" s="48" t="str">
        <f>IF(AND(Creditos!$C$9&lt;&gt;"",Creditos!$M$9="OK",23&lt;=Creditos!$H$9),SUMIFS(Pagos!$F$6:$F$305,Pagos!$C$6:$C$305,C208,Pagos!$D$6:$D$305,D208,Pagos!$E$6:$E$305,"&lt;="&amp;Supuestos!$D$6,Pagos!$H$6:$H$305,"OK"),"")</f>
        <v/>
      </c>
      <c r="O208" s="48" t="str">
        <f>IF(AND(Creditos!$C$9&lt;&gt;"",Creditos!$M$9="OK",23&lt;=Creditos!$H$9),MIN(J208,MAX(0,N208-K208-H208)),"")</f>
        <v/>
      </c>
      <c r="P208" s="48" t="str">
        <f>IF(AND(Creditos!$C$9&lt;&gt;"",Creditos!$M$9="OK",23&lt;=Creditos!$H$9),MAX(0,L208-N208),"")</f>
        <v/>
      </c>
      <c r="Q208" s="50" t="str">
        <f>IF(AND(Creditos!$C$9&lt;&gt;"",Creditos!$M$9="OK",23&lt;=Creditos!$H$9),IF(AND(E208&lt;Supuestos!$D$6,P208&gt;0.005),Supuestos!$D$6-E208,0),"")</f>
        <v/>
      </c>
      <c r="R208" s="48" t="str">
        <f>IF(AND(Creditos!$C$9&lt;&gt;"",Creditos!$M$9="OK",23&lt;=Creditos!$H$9),MAX(0,N208-L208),"")</f>
        <v/>
      </c>
      <c r="S208" s="46" t="str">
        <f>IF(AND(Creditos!$C$9&lt;&gt;"",Creditos!$M$9="OK",23&lt;=Creditos!$H$9),IF(R208&gt;0.005,"Exceso sin imputar",IF(P208&lt;=0.005,"Pagada",IF(E208&lt;Supuestos!$D$6,"Vencida",IF(E208=Supuestos!$D$6,"Vence hoy","Por vencer")))),"")</f>
        <v/>
      </c>
      <c r="T208" s="46">
        <f>IF(AND(Creditos!$C$9&lt;&gt;"",Creditos!$M$9="OK",23&lt;=Creditos!$H$9),IF(P208&gt;0.005,E208,999999),999999)</f>
        <v>999999</v>
      </c>
    </row>
    <row r="209" ht="25.5" customHeight="1">
      <c r="C209" s="46" t="str">
        <f>IF(AND(Creditos!$C$9&lt;&gt;"",Creditos!$M$9="OK",24&lt;=Creditos!$H$9),Creditos!$C$9,"")</f>
        <v/>
      </c>
      <c r="D209" s="46" t="str">
        <f>IF(AND(Creditos!$C$9&lt;&gt;"",Creditos!$M$9="OK",24&lt;=Creditos!$H$9),24,"")</f>
        <v/>
      </c>
      <c r="E209" s="47" t="str">
        <f>IF(AND(Creditos!$C$9&lt;&gt;"",Creditos!$M$9="OK",24&lt;=Creditos!$H$9),EDATE(Creditos!$I$9,23),"")</f>
        <v/>
      </c>
      <c r="F209" s="48" t="str">
        <f>IF(AND(Creditos!$C$9&lt;&gt;"",Creditos!$M$9="OK",24&lt;=Creditos!$H$9),M208,"")</f>
        <v/>
      </c>
      <c r="G209" s="49" t="str">
        <f>IF(AND(Creditos!$C$9&lt;&gt;"",Creditos!$M$9="OK",24&lt;=Creditos!$H$9),Creditos!$N$9,"")</f>
        <v/>
      </c>
      <c r="H209" s="48" t="str">
        <f>IF(AND(Creditos!$C$9&lt;&gt;"",Creditos!$M$9="OK",24&lt;=Creditos!$H$9),ROUND(F209*G209,2),"")</f>
        <v/>
      </c>
      <c r="I209" s="48" t="str">
        <f>IF(AND(Creditos!$C$9&lt;&gt;"",Creditos!$M$9="OK",24&lt;=Creditos!$H$9),IF(24=Creditos!$H$9,F209+H209,MIN(Creditos!$O$9,F209+H209)),"")</f>
        <v/>
      </c>
      <c r="J209" s="48" t="str">
        <f>IF(AND(Creditos!$C$9&lt;&gt;"",Creditos!$M$9="OK",24&lt;=Creditos!$H$9),MIN(F209,MAX(0,I209-H209)),"")</f>
        <v/>
      </c>
      <c r="K209" s="48" t="str">
        <f>IF(AND(Creditos!$C$9&lt;&gt;"",Creditos!$M$9="OK",24&lt;=Creditos!$H$9),Creditos!$J$9+Creditos!$K$9,"")</f>
        <v/>
      </c>
      <c r="L209" s="48" t="str">
        <f>IF(AND(Creditos!$C$9&lt;&gt;"",Creditos!$M$9="OK",24&lt;=Creditos!$H$9),I209+K209,"")</f>
        <v/>
      </c>
      <c r="M209" s="48" t="str">
        <f>IF(AND(Creditos!$C$9&lt;&gt;"",Creditos!$M$9="OK",24&lt;=Creditos!$H$9),MAX(0,F209-J209),"")</f>
        <v/>
      </c>
      <c r="N209" s="48" t="str">
        <f>IF(AND(Creditos!$C$9&lt;&gt;"",Creditos!$M$9="OK",24&lt;=Creditos!$H$9),SUMIFS(Pagos!$F$6:$F$305,Pagos!$C$6:$C$305,C209,Pagos!$D$6:$D$305,D209,Pagos!$E$6:$E$305,"&lt;="&amp;Supuestos!$D$6,Pagos!$H$6:$H$305,"OK"),"")</f>
        <v/>
      </c>
      <c r="O209" s="48" t="str">
        <f>IF(AND(Creditos!$C$9&lt;&gt;"",Creditos!$M$9="OK",24&lt;=Creditos!$H$9),MIN(J209,MAX(0,N209-K209-H209)),"")</f>
        <v/>
      </c>
      <c r="P209" s="48" t="str">
        <f>IF(AND(Creditos!$C$9&lt;&gt;"",Creditos!$M$9="OK",24&lt;=Creditos!$H$9),MAX(0,L209-N209),"")</f>
        <v/>
      </c>
      <c r="Q209" s="50" t="str">
        <f>IF(AND(Creditos!$C$9&lt;&gt;"",Creditos!$M$9="OK",24&lt;=Creditos!$H$9),IF(AND(E209&lt;Supuestos!$D$6,P209&gt;0.005),Supuestos!$D$6-E209,0),"")</f>
        <v/>
      </c>
      <c r="R209" s="48" t="str">
        <f>IF(AND(Creditos!$C$9&lt;&gt;"",Creditos!$M$9="OK",24&lt;=Creditos!$H$9),MAX(0,N209-L209),"")</f>
        <v/>
      </c>
      <c r="S209" s="46" t="str">
        <f>IF(AND(Creditos!$C$9&lt;&gt;"",Creditos!$M$9="OK",24&lt;=Creditos!$H$9),IF(R209&gt;0.005,"Exceso sin imputar",IF(P209&lt;=0.005,"Pagada",IF(E209&lt;Supuestos!$D$6,"Vencida",IF(E209=Supuestos!$D$6,"Vence hoy","Por vencer")))),"")</f>
        <v/>
      </c>
      <c r="T209" s="46">
        <f>IF(AND(Creditos!$C$9&lt;&gt;"",Creditos!$M$9="OK",24&lt;=Creditos!$H$9),IF(P209&gt;0.005,E209,999999),999999)</f>
        <v>999999</v>
      </c>
    </row>
    <row r="210" ht="25.5" customHeight="1">
      <c r="C210" s="46" t="str">
        <f>IF(AND(Creditos!$C$9&lt;&gt;"",Creditos!$M$9="OK",25&lt;=Creditos!$H$9),Creditos!$C$9,"")</f>
        <v/>
      </c>
      <c r="D210" s="46" t="str">
        <f>IF(AND(Creditos!$C$9&lt;&gt;"",Creditos!$M$9="OK",25&lt;=Creditos!$H$9),25,"")</f>
        <v/>
      </c>
      <c r="E210" s="47" t="str">
        <f>IF(AND(Creditos!$C$9&lt;&gt;"",Creditos!$M$9="OK",25&lt;=Creditos!$H$9),EDATE(Creditos!$I$9,24),"")</f>
        <v/>
      </c>
      <c r="F210" s="48" t="str">
        <f>IF(AND(Creditos!$C$9&lt;&gt;"",Creditos!$M$9="OK",25&lt;=Creditos!$H$9),M209,"")</f>
        <v/>
      </c>
      <c r="G210" s="49" t="str">
        <f>IF(AND(Creditos!$C$9&lt;&gt;"",Creditos!$M$9="OK",25&lt;=Creditos!$H$9),Creditos!$N$9,"")</f>
        <v/>
      </c>
      <c r="H210" s="48" t="str">
        <f>IF(AND(Creditos!$C$9&lt;&gt;"",Creditos!$M$9="OK",25&lt;=Creditos!$H$9),ROUND(F210*G210,2),"")</f>
        <v/>
      </c>
      <c r="I210" s="48" t="str">
        <f>IF(AND(Creditos!$C$9&lt;&gt;"",Creditos!$M$9="OK",25&lt;=Creditos!$H$9),IF(25=Creditos!$H$9,F210+H210,MIN(Creditos!$O$9,F210+H210)),"")</f>
        <v/>
      </c>
      <c r="J210" s="48" t="str">
        <f>IF(AND(Creditos!$C$9&lt;&gt;"",Creditos!$M$9="OK",25&lt;=Creditos!$H$9),MIN(F210,MAX(0,I210-H210)),"")</f>
        <v/>
      </c>
      <c r="K210" s="48" t="str">
        <f>IF(AND(Creditos!$C$9&lt;&gt;"",Creditos!$M$9="OK",25&lt;=Creditos!$H$9),Creditos!$J$9+Creditos!$K$9,"")</f>
        <v/>
      </c>
      <c r="L210" s="48" t="str">
        <f>IF(AND(Creditos!$C$9&lt;&gt;"",Creditos!$M$9="OK",25&lt;=Creditos!$H$9),I210+K210,"")</f>
        <v/>
      </c>
      <c r="M210" s="48" t="str">
        <f>IF(AND(Creditos!$C$9&lt;&gt;"",Creditos!$M$9="OK",25&lt;=Creditos!$H$9),MAX(0,F210-J210),"")</f>
        <v/>
      </c>
      <c r="N210" s="48" t="str">
        <f>IF(AND(Creditos!$C$9&lt;&gt;"",Creditos!$M$9="OK",25&lt;=Creditos!$H$9),SUMIFS(Pagos!$F$6:$F$305,Pagos!$C$6:$C$305,C210,Pagos!$D$6:$D$305,D210,Pagos!$E$6:$E$305,"&lt;="&amp;Supuestos!$D$6,Pagos!$H$6:$H$305,"OK"),"")</f>
        <v/>
      </c>
      <c r="O210" s="48" t="str">
        <f>IF(AND(Creditos!$C$9&lt;&gt;"",Creditos!$M$9="OK",25&lt;=Creditos!$H$9),MIN(J210,MAX(0,N210-K210-H210)),"")</f>
        <v/>
      </c>
      <c r="P210" s="48" t="str">
        <f>IF(AND(Creditos!$C$9&lt;&gt;"",Creditos!$M$9="OK",25&lt;=Creditos!$H$9),MAX(0,L210-N210),"")</f>
        <v/>
      </c>
      <c r="Q210" s="50" t="str">
        <f>IF(AND(Creditos!$C$9&lt;&gt;"",Creditos!$M$9="OK",25&lt;=Creditos!$H$9),IF(AND(E210&lt;Supuestos!$D$6,P210&gt;0.005),Supuestos!$D$6-E210,0),"")</f>
        <v/>
      </c>
      <c r="R210" s="48" t="str">
        <f>IF(AND(Creditos!$C$9&lt;&gt;"",Creditos!$M$9="OK",25&lt;=Creditos!$H$9),MAX(0,N210-L210),"")</f>
        <v/>
      </c>
      <c r="S210" s="46" t="str">
        <f>IF(AND(Creditos!$C$9&lt;&gt;"",Creditos!$M$9="OK",25&lt;=Creditos!$H$9),IF(R210&gt;0.005,"Exceso sin imputar",IF(P210&lt;=0.005,"Pagada",IF(E210&lt;Supuestos!$D$6,"Vencida",IF(E210=Supuestos!$D$6,"Vence hoy","Por vencer")))),"")</f>
        <v/>
      </c>
      <c r="T210" s="46">
        <f>IF(AND(Creditos!$C$9&lt;&gt;"",Creditos!$M$9="OK",25&lt;=Creditos!$H$9),IF(P210&gt;0.005,E210,999999),999999)</f>
        <v>999999</v>
      </c>
    </row>
    <row r="211" ht="25.5" customHeight="1">
      <c r="C211" s="46" t="str">
        <f>IF(AND(Creditos!$C$9&lt;&gt;"",Creditos!$M$9="OK",26&lt;=Creditos!$H$9),Creditos!$C$9,"")</f>
        <v/>
      </c>
      <c r="D211" s="46" t="str">
        <f>IF(AND(Creditos!$C$9&lt;&gt;"",Creditos!$M$9="OK",26&lt;=Creditos!$H$9),26,"")</f>
        <v/>
      </c>
      <c r="E211" s="47" t="str">
        <f>IF(AND(Creditos!$C$9&lt;&gt;"",Creditos!$M$9="OK",26&lt;=Creditos!$H$9),EDATE(Creditos!$I$9,25),"")</f>
        <v/>
      </c>
      <c r="F211" s="48" t="str">
        <f>IF(AND(Creditos!$C$9&lt;&gt;"",Creditos!$M$9="OK",26&lt;=Creditos!$H$9),M210,"")</f>
        <v/>
      </c>
      <c r="G211" s="49" t="str">
        <f>IF(AND(Creditos!$C$9&lt;&gt;"",Creditos!$M$9="OK",26&lt;=Creditos!$H$9),Creditos!$N$9,"")</f>
        <v/>
      </c>
      <c r="H211" s="48" t="str">
        <f>IF(AND(Creditos!$C$9&lt;&gt;"",Creditos!$M$9="OK",26&lt;=Creditos!$H$9),ROUND(F211*G211,2),"")</f>
        <v/>
      </c>
      <c r="I211" s="48" t="str">
        <f>IF(AND(Creditos!$C$9&lt;&gt;"",Creditos!$M$9="OK",26&lt;=Creditos!$H$9),IF(26=Creditos!$H$9,F211+H211,MIN(Creditos!$O$9,F211+H211)),"")</f>
        <v/>
      </c>
      <c r="J211" s="48" t="str">
        <f>IF(AND(Creditos!$C$9&lt;&gt;"",Creditos!$M$9="OK",26&lt;=Creditos!$H$9),MIN(F211,MAX(0,I211-H211)),"")</f>
        <v/>
      </c>
      <c r="K211" s="48" t="str">
        <f>IF(AND(Creditos!$C$9&lt;&gt;"",Creditos!$M$9="OK",26&lt;=Creditos!$H$9),Creditos!$J$9+Creditos!$K$9,"")</f>
        <v/>
      </c>
      <c r="L211" s="48" t="str">
        <f>IF(AND(Creditos!$C$9&lt;&gt;"",Creditos!$M$9="OK",26&lt;=Creditos!$H$9),I211+K211,"")</f>
        <v/>
      </c>
      <c r="M211" s="48" t="str">
        <f>IF(AND(Creditos!$C$9&lt;&gt;"",Creditos!$M$9="OK",26&lt;=Creditos!$H$9),MAX(0,F211-J211),"")</f>
        <v/>
      </c>
      <c r="N211" s="48" t="str">
        <f>IF(AND(Creditos!$C$9&lt;&gt;"",Creditos!$M$9="OK",26&lt;=Creditos!$H$9),SUMIFS(Pagos!$F$6:$F$305,Pagos!$C$6:$C$305,C211,Pagos!$D$6:$D$305,D211,Pagos!$E$6:$E$305,"&lt;="&amp;Supuestos!$D$6,Pagos!$H$6:$H$305,"OK"),"")</f>
        <v/>
      </c>
      <c r="O211" s="48" t="str">
        <f>IF(AND(Creditos!$C$9&lt;&gt;"",Creditos!$M$9="OK",26&lt;=Creditos!$H$9),MIN(J211,MAX(0,N211-K211-H211)),"")</f>
        <v/>
      </c>
      <c r="P211" s="48" t="str">
        <f>IF(AND(Creditos!$C$9&lt;&gt;"",Creditos!$M$9="OK",26&lt;=Creditos!$H$9),MAX(0,L211-N211),"")</f>
        <v/>
      </c>
      <c r="Q211" s="50" t="str">
        <f>IF(AND(Creditos!$C$9&lt;&gt;"",Creditos!$M$9="OK",26&lt;=Creditos!$H$9),IF(AND(E211&lt;Supuestos!$D$6,P211&gt;0.005),Supuestos!$D$6-E211,0),"")</f>
        <v/>
      </c>
      <c r="R211" s="48" t="str">
        <f>IF(AND(Creditos!$C$9&lt;&gt;"",Creditos!$M$9="OK",26&lt;=Creditos!$H$9),MAX(0,N211-L211),"")</f>
        <v/>
      </c>
      <c r="S211" s="46" t="str">
        <f>IF(AND(Creditos!$C$9&lt;&gt;"",Creditos!$M$9="OK",26&lt;=Creditos!$H$9),IF(R211&gt;0.005,"Exceso sin imputar",IF(P211&lt;=0.005,"Pagada",IF(E211&lt;Supuestos!$D$6,"Vencida",IF(E211=Supuestos!$D$6,"Vence hoy","Por vencer")))),"")</f>
        <v/>
      </c>
      <c r="T211" s="46">
        <f>IF(AND(Creditos!$C$9&lt;&gt;"",Creditos!$M$9="OK",26&lt;=Creditos!$H$9),IF(P211&gt;0.005,E211,999999),999999)</f>
        <v>999999</v>
      </c>
    </row>
    <row r="212" ht="25.5" customHeight="1">
      <c r="C212" s="46" t="str">
        <f>IF(AND(Creditos!$C$9&lt;&gt;"",Creditos!$M$9="OK",27&lt;=Creditos!$H$9),Creditos!$C$9,"")</f>
        <v/>
      </c>
      <c r="D212" s="46" t="str">
        <f>IF(AND(Creditos!$C$9&lt;&gt;"",Creditos!$M$9="OK",27&lt;=Creditos!$H$9),27,"")</f>
        <v/>
      </c>
      <c r="E212" s="47" t="str">
        <f>IF(AND(Creditos!$C$9&lt;&gt;"",Creditos!$M$9="OK",27&lt;=Creditos!$H$9),EDATE(Creditos!$I$9,26),"")</f>
        <v/>
      </c>
      <c r="F212" s="48" t="str">
        <f>IF(AND(Creditos!$C$9&lt;&gt;"",Creditos!$M$9="OK",27&lt;=Creditos!$H$9),M211,"")</f>
        <v/>
      </c>
      <c r="G212" s="49" t="str">
        <f>IF(AND(Creditos!$C$9&lt;&gt;"",Creditos!$M$9="OK",27&lt;=Creditos!$H$9),Creditos!$N$9,"")</f>
        <v/>
      </c>
      <c r="H212" s="48" t="str">
        <f>IF(AND(Creditos!$C$9&lt;&gt;"",Creditos!$M$9="OK",27&lt;=Creditos!$H$9),ROUND(F212*G212,2),"")</f>
        <v/>
      </c>
      <c r="I212" s="48" t="str">
        <f>IF(AND(Creditos!$C$9&lt;&gt;"",Creditos!$M$9="OK",27&lt;=Creditos!$H$9),IF(27=Creditos!$H$9,F212+H212,MIN(Creditos!$O$9,F212+H212)),"")</f>
        <v/>
      </c>
      <c r="J212" s="48" t="str">
        <f>IF(AND(Creditos!$C$9&lt;&gt;"",Creditos!$M$9="OK",27&lt;=Creditos!$H$9),MIN(F212,MAX(0,I212-H212)),"")</f>
        <v/>
      </c>
      <c r="K212" s="48" t="str">
        <f>IF(AND(Creditos!$C$9&lt;&gt;"",Creditos!$M$9="OK",27&lt;=Creditos!$H$9),Creditos!$J$9+Creditos!$K$9,"")</f>
        <v/>
      </c>
      <c r="L212" s="48" t="str">
        <f>IF(AND(Creditos!$C$9&lt;&gt;"",Creditos!$M$9="OK",27&lt;=Creditos!$H$9),I212+K212,"")</f>
        <v/>
      </c>
      <c r="M212" s="48" t="str">
        <f>IF(AND(Creditos!$C$9&lt;&gt;"",Creditos!$M$9="OK",27&lt;=Creditos!$H$9),MAX(0,F212-J212),"")</f>
        <v/>
      </c>
      <c r="N212" s="48" t="str">
        <f>IF(AND(Creditos!$C$9&lt;&gt;"",Creditos!$M$9="OK",27&lt;=Creditos!$H$9),SUMIFS(Pagos!$F$6:$F$305,Pagos!$C$6:$C$305,C212,Pagos!$D$6:$D$305,D212,Pagos!$E$6:$E$305,"&lt;="&amp;Supuestos!$D$6,Pagos!$H$6:$H$305,"OK"),"")</f>
        <v/>
      </c>
      <c r="O212" s="48" t="str">
        <f>IF(AND(Creditos!$C$9&lt;&gt;"",Creditos!$M$9="OK",27&lt;=Creditos!$H$9),MIN(J212,MAX(0,N212-K212-H212)),"")</f>
        <v/>
      </c>
      <c r="P212" s="48" t="str">
        <f>IF(AND(Creditos!$C$9&lt;&gt;"",Creditos!$M$9="OK",27&lt;=Creditos!$H$9),MAX(0,L212-N212),"")</f>
        <v/>
      </c>
      <c r="Q212" s="50" t="str">
        <f>IF(AND(Creditos!$C$9&lt;&gt;"",Creditos!$M$9="OK",27&lt;=Creditos!$H$9),IF(AND(E212&lt;Supuestos!$D$6,P212&gt;0.005),Supuestos!$D$6-E212,0),"")</f>
        <v/>
      </c>
      <c r="R212" s="48" t="str">
        <f>IF(AND(Creditos!$C$9&lt;&gt;"",Creditos!$M$9="OK",27&lt;=Creditos!$H$9),MAX(0,N212-L212),"")</f>
        <v/>
      </c>
      <c r="S212" s="46" t="str">
        <f>IF(AND(Creditos!$C$9&lt;&gt;"",Creditos!$M$9="OK",27&lt;=Creditos!$H$9),IF(R212&gt;0.005,"Exceso sin imputar",IF(P212&lt;=0.005,"Pagada",IF(E212&lt;Supuestos!$D$6,"Vencida",IF(E212=Supuestos!$D$6,"Vence hoy","Por vencer")))),"")</f>
        <v/>
      </c>
      <c r="T212" s="46">
        <f>IF(AND(Creditos!$C$9&lt;&gt;"",Creditos!$M$9="OK",27&lt;=Creditos!$H$9),IF(P212&gt;0.005,E212,999999),999999)</f>
        <v>999999</v>
      </c>
    </row>
    <row r="213" ht="25.5" customHeight="1">
      <c r="C213" s="46" t="str">
        <f>IF(AND(Creditos!$C$9&lt;&gt;"",Creditos!$M$9="OK",28&lt;=Creditos!$H$9),Creditos!$C$9,"")</f>
        <v/>
      </c>
      <c r="D213" s="46" t="str">
        <f>IF(AND(Creditos!$C$9&lt;&gt;"",Creditos!$M$9="OK",28&lt;=Creditos!$H$9),28,"")</f>
        <v/>
      </c>
      <c r="E213" s="47" t="str">
        <f>IF(AND(Creditos!$C$9&lt;&gt;"",Creditos!$M$9="OK",28&lt;=Creditos!$H$9),EDATE(Creditos!$I$9,27),"")</f>
        <v/>
      </c>
      <c r="F213" s="48" t="str">
        <f>IF(AND(Creditos!$C$9&lt;&gt;"",Creditos!$M$9="OK",28&lt;=Creditos!$H$9),M212,"")</f>
        <v/>
      </c>
      <c r="G213" s="49" t="str">
        <f>IF(AND(Creditos!$C$9&lt;&gt;"",Creditos!$M$9="OK",28&lt;=Creditos!$H$9),Creditos!$N$9,"")</f>
        <v/>
      </c>
      <c r="H213" s="48" t="str">
        <f>IF(AND(Creditos!$C$9&lt;&gt;"",Creditos!$M$9="OK",28&lt;=Creditos!$H$9),ROUND(F213*G213,2),"")</f>
        <v/>
      </c>
      <c r="I213" s="48" t="str">
        <f>IF(AND(Creditos!$C$9&lt;&gt;"",Creditos!$M$9="OK",28&lt;=Creditos!$H$9),IF(28=Creditos!$H$9,F213+H213,MIN(Creditos!$O$9,F213+H213)),"")</f>
        <v/>
      </c>
      <c r="J213" s="48" t="str">
        <f>IF(AND(Creditos!$C$9&lt;&gt;"",Creditos!$M$9="OK",28&lt;=Creditos!$H$9),MIN(F213,MAX(0,I213-H213)),"")</f>
        <v/>
      </c>
      <c r="K213" s="48" t="str">
        <f>IF(AND(Creditos!$C$9&lt;&gt;"",Creditos!$M$9="OK",28&lt;=Creditos!$H$9),Creditos!$J$9+Creditos!$K$9,"")</f>
        <v/>
      </c>
      <c r="L213" s="48" t="str">
        <f>IF(AND(Creditos!$C$9&lt;&gt;"",Creditos!$M$9="OK",28&lt;=Creditos!$H$9),I213+K213,"")</f>
        <v/>
      </c>
      <c r="M213" s="48" t="str">
        <f>IF(AND(Creditos!$C$9&lt;&gt;"",Creditos!$M$9="OK",28&lt;=Creditos!$H$9),MAX(0,F213-J213),"")</f>
        <v/>
      </c>
      <c r="N213" s="48" t="str">
        <f>IF(AND(Creditos!$C$9&lt;&gt;"",Creditos!$M$9="OK",28&lt;=Creditos!$H$9),SUMIFS(Pagos!$F$6:$F$305,Pagos!$C$6:$C$305,C213,Pagos!$D$6:$D$305,D213,Pagos!$E$6:$E$305,"&lt;="&amp;Supuestos!$D$6,Pagos!$H$6:$H$305,"OK"),"")</f>
        <v/>
      </c>
      <c r="O213" s="48" t="str">
        <f>IF(AND(Creditos!$C$9&lt;&gt;"",Creditos!$M$9="OK",28&lt;=Creditos!$H$9),MIN(J213,MAX(0,N213-K213-H213)),"")</f>
        <v/>
      </c>
      <c r="P213" s="48" t="str">
        <f>IF(AND(Creditos!$C$9&lt;&gt;"",Creditos!$M$9="OK",28&lt;=Creditos!$H$9),MAX(0,L213-N213),"")</f>
        <v/>
      </c>
      <c r="Q213" s="50" t="str">
        <f>IF(AND(Creditos!$C$9&lt;&gt;"",Creditos!$M$9="OK",28&lt;=Creditos!$H$9),IF(AND(E213&lt;Supuestos!$D$6,P213&gt;0.005),Supuestos!$D$6-E213,0),"")</f>
        <v/>
      </c>
      <c r="R213" s="48" t="str">
        <f>IF(AND(Creditos!$C$9&lt;&gt;"",Creditos!$M$9="OK",28&lt;=Creditos!$H$9),MAX(0,N213-L213),"")</f>
        <v/>
      </c>
      <c r="S213" s="46" t="str">
        <f>IF(AND(Creditos!$C$9&lt;&gt;"",Creditos!$M$9="OK",28&lt;=Creditos!$H$9),IF(R213&gt;0.005,"Exceso sin imputar",IF(P213&lt;=0.005,"Pagada",IF(E213&lt;Supuestos!$D$6,"Vencida",IF(E213=Supuestos!$D$6,"Vence hoy","Por vencer")))),"")</f>
        <v/>
      </c>
      <c r="T213" s="46">
        <f>IF(AND(Creditos!$C$9&lt;&gt;"",Creditos!$M$9="OK",28&lt;=Creditos!$H$9),IF(P213&gt;0.005,E213,999999),999999)</f>
        <v>999999</v>
      </c>
    </row>
    <row r="214" ht="25.5" customHeight="1">
      <c r="C214" s="46" t="str">
        <f>IF(AND(Creditos!$C$9&lt;&gt;"",Creditos!$M$9="OK",29&lt;=Creditos!$H$9),Creditos!$C$9,"")</f>
        <v/>
      </c>
      <c r="D214" s="46" t="str">
        <f>IF(AND(Creditos!$C$9&lt;&gt;"",Creditos!$M$9="OK",29&lt;=Creditos!$H$9),29,"")</f>
        <v/>
      </c>
      <c r="E214" s="47" t="str">
        <f>IF(AND(Creditos!$C$9&lt;&gt;"",Creditos!$M$9="OK",29&lt;=Creditos!$H$9),EDATE(Creditos!$I$9,28),"")</f>
        <v/>
      </c>
      <c r="F214" s="48" t="str">
        <f>IF(AND(Creditos!$C$9&lt;&gt;"",Creditos!$M$9="OK",29&lt;=Creditos!$H$9),M213,"")</f>
        <v/>
      </c>
      <c r="G214" s="49" t="str">
        <f>IF(AND(Creditos!$C$9&lt;&gt;"",Creditos!$M$9="OK",29&lt;=Creditos!$H$9),Creditos!$N$9,"")</f>
        <v/>
      </c>
      <c r="H214" s="48" t="str">
        <f>IF(AND(Creditos!$C$9&lt;&gt;"",Creditos!$M$9="OK",29&lt;=Creditos!$H$9),ROUND(F214*G214,2),"")</f>
        <v/>
      </c>
      <c r="I214" s="48" t="str">
        <f>IF(AND(Creditos!$C$9&lt;&gt;"",Creditos!$M$9="OK",29&lt;=Creditos!$H$9),IF(29=Creditos!$H$9,F214+H214,MIN(Creditos!$O$9,F214+H214)),"")</f>
        <v/>
      </c>
      <c r="J214" s="48" t="str">
        <f>IF(AND(Creditos!$C$9&lt;&gt;"",Creditos!$M$9="OK",29&lt;=Creditos!$H$9),MIN(F214,MAX(0,I214-H214)),"")</f>
        <v/>
      </c>
      <c r="K214" s="48" t="str">
        <f>IF(AND(Creditos!$C$9&lt;&gt;"",Creditos!$M$9="OK",29&lt;=Creditos!$H$9),Creditos!$J$9+Creditos!$K$9,"")</f>
        <v/>
      </c>
      <c r="L214" s="48" t="str">
        <f>IF(AND(Creditos!$C$9&lt;&gt;"",Creditos!$M$9="OK",29&lt;=Creditos!$H$9),I214+K214,"")</f>
        <v/>
      </c>
      <c r="M214" s="48" t="str">
        <f>IF(AND(Creditos!$C$9&lt;&gt;"",Creditos!$M$9="OK",29&lt;=Creditos!$H$9),MAX(0,F214-J214),"")</f>
        <v/>
      </c>
      <c r="N214" s="48" t="str">
        <f>IF(AND(Creditos!$C$9&lt;&gt;"",Creditos!$M$9="OK",29&lt;=Creditos!$H$9),SUMIFS(Pagos!$F$6:$F$305,Pagos!$C$6:$C$305,C214,Pagos!$D$6:$D$305,D214,Pagos!$E$6:$E$305,"&lt;="&amp;Supuestos!$D$6,Pagos!$H$6:$H$305,"OK"),"")</f>
        <v/>
      </c>
      <c r="O214" s="48" t="str">
        <f>IF(AND(Creditos!$C$9&lt;&gt;"",Creditos!$M$9="OK",29&lt;=Creditos!$H$9),MIN(J214,MAX(0,N214-K214-H214)),"")</f>
        <v/>
      </c>
      <c r="P214" s="48" t="str">
        <f>IF(AND(Creditos!$C$9&lt;&gt;"",Creditos!$M$9="OK",29&lt;=Creditos!$H$9),MAX(0,L214-N214),"")</f>
        <v/>
      </c>
      <c r="Q214" s="50" t="str">
        <f>IF(AND(Creditos!$C$9&lt;&gt;"",Creditos!$M$9="OK",29&lt;=Creditos!$H$9),IF(AND(E214&lt;Supuestos!$D$6,P214&gt;0.005),Supuestos!$D$6-E214,0),"")</f>
        <v/>
      </c>
      <c r="R214" s="48" t="str">
        <f>IF(AND(Creditos!$C$9&lt;&gt;"",Creditos!$M$9="OK",29&lt;=Creditos!$H$9),MAX(0,N214-L214),"")</f>
        <v/>
      </c>
      <c r="S214" s="46" t="str">
        <f>IF(AND(Creditos!$C$9&lt;&gt;"",Creditos!$M$9="OK",29&lt;=Creditos!$H$9),IF(R214&gt;0.005,"Exceso sin imputar",IF(P214&lt;=0.005,"Pagada",IF(E214&lt;Supuestos!$D$6,"Vencida",IF(E214=Supuestos!$D$6,"Vence hoy","Por vencer")))),"")</f>
        <v/>
      </c>
      <c r="T214" s="46">
        <f>IF(AND(Creditos!$C$9&lt;&gt;"",Creditos!$M$9="OK",29&lt;=Creditos!$H$9),IF(P214&gt;0.005,E214,999999),999999)</f>
        <v>999999</v>
      </c>
    </row>
    <row r="215" ht="25.5" customHeight="1">
      <c r="C215" s="46" t="str">
        <f>IF(AND(Creditos!$C$9&lt;&gt;"",Creditos!$M$9="OK",30&lt;=Creditos!$H$9),Creditos!$C$9,"")</f>
        <v/>
      </c>
      <c r="D215" s="46" t="str">
        <f>IF(AND(Creditos!$C$9&lt;&gt;"",Creditos!$M$9="OK",30&lt;=Creditos!$H$9),30,"")</f>
        <v/>
      </c>
      <c r="E215" s="47" t="str">
        <f>IF(AND(Creditos!$C$9&lt;&gt;"",Creditos!$M$9="OK",30&lt;=Creditos!$H$9),EDATE(Creditos!$I$9,29),"")</f>
        <v/>
      </c>
      <c r="F215" s="48" t="str">
        <f>IF(AND(Creditos!$C$9&lt;&gt;"",Creditos!$M$9="OK",30&lt;=Creditos!$H$9),M214,"")</f>
        <v/>
      </c>
      <c r="G215" s="49" t="str">
        <f>IF(AND(Creditos!$C$9&lt;&gt;"",Creditos!$M$9="OK",30&lt;=Creditos!$H$9),Creditos!$N$9,"")</f>
        <v/>
      </c>
      <c r="H215" s="48" t="str">
        <f>IF(AND(Creditos!$C$9&lt;&gt;"",Creditos!$M$9="OK",30&lt;=Creditos!$H$9),ROUND(F215*G215,2),"")</f>
        <v/>
      </c>
      <c r="I215" s="48" t="str">
        <f>IF(AND(Creditos!$C$9&lt;&gt;"",Creditos!$M$9="OK",30&lt;=Creditos!$H$9),IF(30=Creditos!$H$9,F215+H215,MIN(Creditos!$O$9,F215+H215)),"")</f>
        <v/>
      </c>
      <c r="J215" s="48" t="str">
        <f>IF(AND(Creditos!$C$9&lt;&gt;"",Creditos!$M$9="OK",30&lt;=Creditos!$H$9),MIN(F215,MAX(0,I215-H215)),"")</f>
        <v/>
      </c>
      <c r="K215" s="48" t="str">
        <f>IF(AND(Creditos!$C$9&lt;&gt;"",Creditos!$M$9="OK",30&lt;=Creditos!$H$9),Creditos!$J$9+Creditos!$K$9,"")</f>
        <v/>
      </c>
      <c r="L215" s="48" t="str">
        <f>IF(AND(Creditos!$C$9&lt;&gt;"",Creditos!$M$9="OK",30&lt;=Creditos!$H$9),I215+K215,"")</f>
        <v/>
      </c>
      <c r="M215" s="48" t="str">
        <f>IF(AND(Creditos!$C$9&lt;&gt;"",Creditos!$M$9="OK",30&lt;=Creditos!$H$9),MAX(0,F215-J215),"")</f>
        <v/>
      </c>
      <c r="N215" s="48" t="str">
        <f>IF(AND(Creditos!$C$9&lt;&gt;"",Creditos!$M$9="OK",30&lt;=Creditos!$H$9),SUMIFS(Pagos!$F$6:$F$305,Pagos!$C$6:$C$305,C215,Pagos!$D$6:$D$305,D215,Pagos!$E$6:$E$305,"&lt;="&amp;Supuestos!$D$6,Pagos!$H$6:$H$305,"OK"),"")</f>
        <v/>
      </c>
      <c r="O215" s="48" t="str">
        <f>IF(AND(Creditos!$C$9&lt;&gt;"",Creditos!$M$9="OK",30&lt;=Creditos!$H$9),MIN(J215,MAX(0,N215-K215-H215)),"")</f>
        <v/>
      </c>
      <c r="P215" s="48" t="str">
        <f>IF(AND(Creditos!$C$9&lt;&gt;"",Creditos!$M$9="OK",30&lt;=Creditos!$H$9),MAX(0,L215-N215),"")</f>
        <v/>
      </c>
      <c r="Q215" s="50" t="str">
        <f>IF(AND(Creditos!$C$9&lt;&gt;"",Creditos!$M$9="OK",30&lt;=Creditos!$H$9),IF(AND(E215&lt;Supuestos!$D$6,P215&gt;0.005),Supuestos!$D$6-E215,0),"")</f>
        <v/>
      </c>
      <c r="R215" s="48" t="str">
        <f>IF(AND(Creditos!$C$9&lt;&gt;"",Creditos!$M$9="OK",30&lt;=Creditos!$H$9),MAX(0,N215-L215),"")</f>
        <v/>
      </c>
      <c r="S215" s="46" t="str">
        <f>IF(AND(Creditos!$C$9&lt;&gt;"",Creditos!$M$9="OK",30&lt;=Creditos!$H$9),IF(R215&gt;0.005,"Exceso sin imputar",IF(P215&lt;=0.005,"Pagada",IF(E215&lt;Supuestos!$D$6,"Vencida",IF(E215=Supuestos!$D$6,"Vence hoy","Por vencer")))),"")</f>
        <v/>
      </c>
      <c r="T215" s="46">
        <f>IF(AND(Creditos!$C$9&lt;&gt;"",Creditos!$M$9="OK",30&lt;=Creditos!$H$9),IF(P215&gt;0.005,E215,999999),999999)</f>
        <v>999999</v>
      </c>
    </row>
    <row r="216" ht="25.5" customHeight="1">
      <c r="C216" s="46" t="str">
        <f>IF(AND(Creditos!$C$9&lt;&gt;"",Creditos!$M$9="OK",31&lt;=Creditos!$H$9),Creditos!$C$9,"")</f>
        <v/>
      </c>
      <c r="D216" s="46" t="str">
        <f>IF(AND(Creditos!$C$9&lt;&gt;"",Creditos!$M$9="OK",31&lt;=Creditos!$H$9),31,"")</f>
        <v/>
      </c>
      <c r="E216" s="47" t="str">
        <f>IF(AND(Creditos!$C$9&lt;&gt;"",Creditos!$M$9="OK",31&lt;=Creditos!$H$9),EDATE(Creditos!$I$9,30),"")</f>
        <v/>
      </c>
      <c r="F216" s="48" t="str">
        <f>IF(AND(Creditos!$C$9&lt;&gt;"",Creditos!$M$9="OK",31&lt;=Creditos!$H$9),M215,"")</f>
        <v/>
      </c>
      <c r="G216" s="49" t="str">
        <f>IF(AND(Creditos!$C$9&lt;&gt;"",Creditos!$M$9="OK",31&lt;=Creditos!$H$9),Creditos!$N$9,"")</f>
        <v/>
      </c>
      <c r="H216" s="48" t="str">
        <f>IF(AND(Creditos!$C$9&lt;&gt;"",Creditos!$M$9="OK",31&lt;=Creditos!$H$9),ROUND(F216*G216,2),"")</f>
        <v/>
      </c>
      <c r="I216" s="48" t="str">
        <f>IF(AND(Creditos!$C$9&lt;&gt;"",Creditos!$M$9="OK",31&lt;=Creditos!$H$9),IF(31=Creditos!$H$9,F216+H216,MIN(Creditos!$O$9,F216+H216)),"")</f>
        <v/>
      </c>
      <c r="J216" s="48" t="str">
        <f>IF(AND(Creditos!$C$9&lt;&gt;"",Creditos!$M$9="OK",31&lt;=Creditos!$H$9),MIN(F216,MAX(0,I216-H216)),"")</f>
        <v/>
      </c>
      <c r="K216" s="48" t="str">
        <f>IF(AND(Creditos!$C$9&lt;&gt;"",Creditos!$M$9="OK",31&lt;=Creditos!$H$9),Creditos!$J$9+Creditos!$K$9,"")</f>
        <v/>
      </c>
      <c r="L216" s="48" t="str">
        <f>IF(AND(Creditos!$C$9&lt;&gt;"",Creditos!$M$9="OK",31&lt;=Creditos!$H$9),I216+K216,"")</f>
        <v/>
      </c>
      <c r="M216" s="48" t="str">
        <f>IF(AND(Creditos!$C$9&lt;&gt;"",Creditos!$M$9="OK",31&lt;=Creditos!$H$9),MAX(0,F216-J216),"")</f>
        <v/>
      </c>
      <c r="N216" s="48" t="str">
        <f>IF(AND(Creditos!$C$9&lt;&gt;"",Creditos!$M$9="OK",31&lt;=Creditos!$H$9),SUMIFS(Pagos!$F$6:$F$305,Pagos!$C$6:$C$305,C216,Pagos!$D$6:$D$305,D216,Pagos!$E$6:$E$305,"&lt;="&amp;Supuestos!$D$6,Pagos!$H$6:$H$305,"OK"),"")</f>
        <v/>
      </c>
      <c r="O216" s="48" t="str">
        <f>IF(AND(Creditos!$C$9&lt;&gt;"",Creditos!$M$9="OK",31&lt;=Creditos!$H$9),MIN(J216,MAX(0,N216-K216-H216)),"")</f>
        <v/>
      </c>
      <c r="P216" s="48" t="str">
        <f>IF(AND(Creditos!$C$9&lt;&gt;"",Creditos!$M$9="OK",31&lt;=Creditos!$H$9),MAX(0,L216-N216),"")</f>
        <v/>
      </c>
      <c r="Q216" s="50" t="str">
        <f>IF(AND(Creditos!$C$9&lt;&gt;"",Creditos!$M$9="OK",31&lt;=Creditos!$H$9),IF(AND(E216&lt;Supuestos!$D$6,P216&gt;0.005),Supuestos!$D$6-E216,0),"")</f>
        <v/>
      </c>
      <c r="R216" s="48" t="str">
        <f>IF(AND(Creditos!$C$9&lt;&gt;"",Creditos!$M$9="OK",31&lt;=Creditos!$H$9),MAX(0,N216-L216),"")</f>
        <v/>
      </c>
      <c r="S216" s="46" t="str">
        <f>IF(AND(Creditos!$C$9&lt;&gt;"",Creditos!$M$9="OK",31&lt;=Creditos!$H$9),IF(R216&gt;0.005,"Exceso sin imputar",IF(P216&lt;=0.005,"Pagada",IF(E216&lt;Supuestos!$D$6,"Vencida",IF(E216=Supuestos!$D$6,"Vence hoy","Por vencer")))),"")</f>
        <v/>
      </c>
      <c r="T216" s="46">
        <f>IF(AND(Creditos!$C$9&lt;&gt;"",Creditos!$M$9="OK",31&lt;=Creditos!$H$9),IF(P216&gt;0.005,E216,999999),999999)</f>
        <v>999999</v>
      </c>
    </row>
    <row r="217" ht="25.5" customHeight="1">
      <c r="C217" s="46" t="str">
        <f>IF(AND(Creditos!$C$9&lt;&gt;"",Creditos!$M$9="OK",32&lt;=Creditos!$H$9),Creditos!$C$9,"")</f>
        <v/>
      </c>
      <c r="D217" s="46" t="str">
        <f>IF(AND(Creditos!$C$9&lt;&gt;"",Creditos!$M$9="OK",32&lt;=Creditos!$H$9),32,"")</f>
        <v/>
      </c>
      <c r="E217" s="47" t="str">
        <f>IF(AND(Creditos!$C$9&lt;&gt;"",Creditos!$M$9="OK",32&lt;=Creditos!$H$9),EDATE(Creditos!$I$9,31),"")</f>
        <v/>
      </c>
      <c r="F217" s="48" t="str">
        <f>IF(AND(Creditos!$C$9&lt;&gt;"",Creditos!$M$9="OK",32&lt;=Creditos!$H$9),M216,"")</f>
        <v/>
      </c>
      <c r="G217" s="49" t="str">
        <f>IF(AND(Creditos!$C$9&lt;&gt;"",Creditos!$M$9="OK",32&lt;=Creditos!$H$9),Creditos!$N$9,"")</f>
        <v/>
      </c>
      <c r="H217" s="48" t="str">
        <f>IF(AND(Creditos!$C$9&lt;&gt;"",Creditos!$M$9="OK",32&lt;=Creditos!$H$9),ROUND(F217*G217,2),"")</f>
        <v/>
      </c>
      <c r="I217" s="48" t="str">
        <f>IF(AND(Creditos!$C$9&lt;&gt;"",Creditos!$M$9="OK",32&lt;=Creditos!$H$9),IF(32=Creditos!$H$9,F217+H217,MIN(Creditos!$O$9,F217+H217)),"")</f>
        <v/>
      </c>
      <c r="J217" s="48" t="str">
        <f>IF(AND(Creditos!$C$9&lt;&gt;"",Creditos!$M$9="OK",32&lt;=Creditos!$H$9),MIN(F217,MAX(0,I217-H217)),"")</f>
        <v/>
      </c>
      <c r="K217" s="48" t="str">
        <f>IF(AND(Creditos!$C$9&lt;&gt;"",Creditos!$M$9="OK",32&lt;=Creditos!$H$9),Creditos!$J$9+Creditos!$K$9,"")</f>
        <v/>
      </c>
      <c r="L217" s="48" t="str">
        <f>IF(AND(Creditos!$C$9&lt;&gt;"",Creditos!$M$9="OK",32&lt;=Creditos!$H$9),I217+K217,"")</f>
        <v/>
      </c>
      <c r="M217" s="48" t="str">
        <f>IF(AND(Creditos!$C$9&lt;&gt;"",Creditos!$M$9="OK",32&lt;=Creditos!$H$9),MAX(0,F217-J217),"")</f>
        <v/>
      </c>
      <c r="N217" s="48" t="str">
        <f>IF(AND(Creditos!$C$9&lt;&gt;"",Creditos!$M$9="OK",32&lt;=Creditos!$H$9),SUMIFS(Pagos!$F$6:$F$305,Pagos!$C$6:$C$305,C217,Pagos!$D$6:$D$305,D217,Pagos!$E$6:$E$305,"&lt;="&amp;Supuestos!$D$6,Pagos!$H$6:$H$305,"OK"),"")</f>
        <v/>
      </c>
      <c r="O217" s="48" t="str">
        <f>IF(AND(Creditos!$C$9&lt;&gt;"",Creditos!$M$9="OK",32&lt;=Creditos!$H$9),MIN(J217,MAX(0,N217-K217-H217)),"")</f>
        <v/>
      </c>
      <c r="P217" s="48" t="str">
        <f>IF(AND(Creditos!$C$9&lt;&gt;"",Creditos!$M$9="OK",32&lt;=Creditos!$H$9),MAX(0,L217-N217),"")</f>
        <v/>
      </c>
      <c r="Q217" s="50" t="str">
        <f>IF(AND(Creditos!$C$9&lt;&gt;"",Creditos!$M$9="OK",32&lt;=Creditos!$H$9),IF(AND(E217&lt;Supuestos!$D$6,P217&gt;0.005),Supuestos!$D$6-E217,0),"")</f>
        <v/>
      </c>
      <c r="R217" s="48" t="str">
        <f>IF(AND(Creditos!$C$9&lt;&gt;"",Creditos!$M$9="OK",32&lt;=Creditos!$H$9),MAX(0,N217-L217),"")</f>
        <v/>
      </c>
      <c r="S217" s="46" t="str">
        <f>IF(AND(Creditos!$C$9&lt;&gt;"",Creditos!$M$9="OK",32&lt;=Creditos!$H$9),IF(R217&gt;0.005,"Exceso sin imputar",IF(P217&lt;=0.005,"Pagada",IF(E217&lt;Supuestos!$D$6,"Vencida",IF(E217=Supuestos!$D$6,"Vence hoy","Por vencer")))),"")</f>
        <v/>
      </c>
      <c r="T217" s="46">
        <f>IF(AND(Creditos!$C$9&lt;&gt;"",Creditos!$M$9="OK",32&lt;=Creditos!$H$9),IF(P217&gt;0.005,E217,999999),999999)</f>
        <v>999999</v>
      </c>
    </row>
    <row r="218" ht="25.5" customHeight="1">
      <c r="C218" s="46" t="str">
        <f>IF(AND(Creditos!$C$9&lt;&gt;"",Creditos!$M$9="OK",33&lt;=Creditos!$H$9),Creditos!$C$9,"")</f>
        <v/>
      </c>
      <c r="D218" s="46" t="str">
        <f>IF(AND(Creditos!$C$9&lt;&gt;"",Creditos!$M$9="OK",33&lt;=Creditos!$H$9),33,"")</f>
        <v/>
      </c>
      <c r="E218" s="47" t="str">
        <f>IF(AND(Creditos!$C$9&lt;&gt;"",Creditos!$M$9="OK",33&lt;=Creditos!$H$9),EDATE(Creditos!$I$9,32),"")</f>
        <v/>
      </c>
      <c r="F218" s="48" t="str">
        <f>IF(AND(Creditos!$C$9&lt;&gt;"",Creditos!$M$9="OK",33&lt;=Creditos!$H$9),M217,"")</f>
        <v/>
      </c>
      <c r="G218" s="49" t="str">
        <f>IF(AND(Creditos!$C$9&lt;&gt;"",Creditos!$M$9="OK",33&lt;=Creditos!$H$9),Creditos!$N$9,"")</f>
        <v/>
      </c>
      <c r="H218" s="48" t="str">
        <f>IF(AND(Creditos!$C$9&lt;&gt;"",Creditos!$M$9="OK",33&lt;=Creditos!$H$9),ROUND(F218*G218,2),"")</f>
        <v/>
      </c>
      <c r="I218" s="48" t="str">
        <f>IF(AND(Creditos!$C$9&lt;&gt;"",Creditos!$M$9="OK",33&lt;=Creditos!$H$9),IF(33=Creditos!$H$9,F218+H218,MIN(Creditos!$O$9,F218+H218)),"")</f>
        <v/>
      </c>
      <c r="J218" s="48" t="str">
        <f>IF(AND(Creditos!$C$9&lt;&gt;"",Creditos!$M$9="OK",33&lt;=Creditos!$H$9),MIN(F218,MAX(0,I218-H218)),"")</f>
        <v/>
      </c>
      <c r="K218" s="48" t="str">
        <f>IF(AND(Creditos!$C$9&lt;&gt;"",Creditos!$M$9="OK",33&lt;=Creditos!$H$9),Creditos!$J$9+Creditos!$K$9,"")</f>
        <v/>
      </c>
      <c r="L218" s="48" t="str">
        <f>IF(AND(Creditos!$C$9&lt;&gt;"",Creditos!$M$9="OK",33&lt;=Creditos!$H$9),I218+K218,"")</f>
        <v/>
      </c>
      <c r="M218" s="48" t="str">
        <f>IF(AND(Creditos!$C$9&lt;&gt;"",Creditos!$M$9="OK",33&lt;=Creditos!$H$9),MAX(0,F218-J218),"")</f>
        <v/>
      </c>
      <c r="N218" s="48" t="str">
        <f>IF(AND(Creditos!$C$9&lt;&gt;"",Creditos!$M$9="OK",33&lt;=Creditos!$H$9),SUMIFS(Pagos!$F$6:$F$305,Pagos!$C$6:$C$305,C218,Pagos!$D$6:$D$305,D218,Pagos!$E$6:$E$305,"&lt;="&amp;Supuestos!$D$6,Pagos!$H$6:$H$305,"OK"),"")</f>
        <v/>
      </c>
      <c r="O218" s="48" t="str">
        <f>IF(AND(Creditos!$C$9&lt;&gt;"",Creditos!$M$9="OK",33&lt;=Creditos!$H$9),MIN(J218,MAX(0,N218-K218-H218)),"")</f>
        <v/>
      </c>
      <c r="P218" s="48" t="str">
        <f>IF(AND(Creditos!$C$9&lt;&gt;"",Creditos!$M$9="OK",33&lt;=Creditos!$H$9),MAX(0,L218-N218),"")</f>
        <v/>
      </c>
      <c r="Q218" s="50" t="str">
        <f>IF(AND(Creditos!$C$9&lt;&gt;"",Creditos!$M$9="OK",33&lt;=Creditos!$H$9),IF(AND(E218&lt;Supuestos!$D$6,P218&gt;0.005),Supuestos!$D$6-E218,0),"")</f>
        <v/>
      </c>
      <c r="R218" s="48" t="str">
        <f>IF(AND(Creditos!$C$9&lt;&gt;"",Creditos!$M$9="OK",33&lt;=Creditos!$H$9),MAX(0,N218-L218),"")</f>
        <v/>
      </c>
      <c r="S218" s="46" t="str">
        <f>IF(AND(Creditos!$C$9&lt;&gt;"",Creditos!$M$9="OK",33&lt;=Creditos!$H$9),IF(R218&gt;0.005,"Exceso sin imputar",IF(P218&lt;=0.005,"Pagada",IF(E218&lt;Supuestos!$D$6,"Vencida",IF(E218=Supuestos!$D$6,"Vence hoy","Por vencer")))),"")</f>
        <v/>
      </c>
      <c r="T218" s="46">
        <f>IF(AND(Creditos!$C$9&lt;&gt;"",Creditos!$M$9="OK",33&lt;=Creditos!$H$9),IF(P218&gt;0.005,E218,999999),999999)</f>
        <v>999999</v>
      </c>
    </row>
    <row r="219" ht="25.5" customHeight="1">
      <c r="C219" s="46" t="str">
        <f>IF(AND(Creditos!$C$9&lt;&gt;"",Creditos!$M$9="OK",34&lt;=Creditos!$H$9),Creditos!$C$9,"")</f>
        <v/>
      </c>
      <c r="D219" s="46" t="str">
        <f>IF(AND(Creditos!$C$9&lt;&gt;"",Creditos!$M$9="OK",34&lt;=Creditos!$H$9),34,"")</f>
        <v/>
      </c>
      <c r="E219" s="47" t="str">
        <f>IF(AND(Creditos!$C$9&lt;&gt;"",Creditos!$M$9="OK",34&lt;=Creditos!$H$9),EDATE(Creditos!$I$9,33),"")</f>
        <v/>
      </c>
      <c r="F219" s="48" t="str">
        <f>IF(AND(Creditos!$C$9&lt;&gt;"",Creditos!$M$9="OK",34&lt;=Creditos!$H$9),M218,"")</f>
        <v/>
      </c>
      <c r="G219" s="49" t="str">
        <f>IF(AND(Creditos!$C$9&lt;&gt;"",Creditos!$M$9="OK",34&lt;=Creditos!$H$9),Creditos!$N$9,"")</f>
        <v/>
      </c>
      <c r="H219" s="48" t="str">
        <f>IF(AND(Creditos!$C$9&lt;&gt;"",Creditos!$M$9="OK",34&lt;=Creditos!$H$9),ROUND(F219*G219,2),"")</f>
        <v/>
      </c>
      <c r="I219" s="48" t="str">
        <f>IF(AND(Creditos!$C$9&lt;&gt;"",Creditos!$M$9="OK",34&lt;=Creditos!$H$9),IF(34=Creditos!$H$9,F219+H219,MIN(Creditos!$O$9,F219+H219)),"")</f>
        <v/>
      </c>
      <c r="J219" s="48" t="str">
        <f>IF(AND(Creditos!$C$9&lt;&gt;"",Creditos!$M$9="OK",34&lt;=Creditos!$H$9),MIN(F219,MAX(0,I219-H219)),"")</f>
        <v/>
      </c>
      <c r="K219" s="48" t="str">
        <f>IF(AND(Creditos!$C$9&lt;&gt;"",Creditos!$M$9="OK",34&lt;=Creditos!$H$9),Creditos!$J$9+Creditos!$K$9,"")</f>
        <v/>
      </c>
      <c r="L219" s="48" t="str">
        <f>IF(AND(Creditos!$C$9&lt;&gt;"",Creditos!$M$9="OK",34&lt;=Creditos!$H$9),I219+K219,"")</f>
        <v/>
      </c>
      <c r="M219" s="48" t="str">
        <f>IF(AND(Creditos!$C$9&lt;&gt;"",Creditos!$M$9="OK",34&lt;=Creditos!$H$9),MAX(0,F219-J219),"")</f>
        <v/>
      </c>
      <c r="N219" s="48" t="str">
        <f>IF(AND(Creditos!$C$9&lt;&gt;"",Creditos!$M$9="OK",34&lt;=Creditos!$H$9),SUMIFS(Pagos!$F$6:$F$305,Pagos!$C$6:$C$305,C219,Pagos!$D$6:$D$305,D219,Pagos!$E$6:$E$305,"&lt;="&amp;Supuestos!$D$6,Pagos!$H$6:$H$305,"OK"),"")</f>
        <v/>
      </c>
      <c r="O219" s="48" t="str">
        <f>IF(AND(Creditos!$C$9&lt;&gt;"",Creditos!$M$9="OK",34&lt;=Creditos!$H$9),MIN(J219,MAX(0,N219-K219-H219)),"")</f>
        <v/>
      </c>
      <c r="P219" s="48" t="str">
        <f>IF(AND(Creditos!$C$9&lt;&gt;"",Creditos!$M$9="OK",34&lt;=Creditos!$H$9),MAX(0,L219-N219),"")</f>
        <v/>
      </c>
      <c r="Q219" s="50" t="str">
        <f>IF(AND(Creditos!$C$9&lt;&gt;"",Creditos!$M$9="OK",34&lt;=Creditos!$H$9),IF(AND(E219&lt;Supuestos!$D$6,P219&gt;0.005),Supuestos!$D$6-E219,0),"")</f>
        <v/>
      </c>
      <c r="R219" s="48" t="str">
        <f>IF(AND(Creditos!$C$9&lt;&gt;"",Creditos!$M$9="OK",34&lt;=Creditos!$H$9),MAX(0,N219-L219),"")</f>
        <v/>
      </c>
      <c r="S219" s="46" t="str">
        <f>IF(AND(Creditos!$C$9&lt;&gt;"",Creditos!$M$9="OK",34&lt;=Creditos!$H$9),IF(R219&gt;0.005,"Exceso sin imputar",IF(P219&lt;=0.005,"Pagada",IF(E219&lt;Supuestos!$D$6,"Vencida",IF(E219=Supuestos!$D$6,"Vence hoy","Por vencer")))),"")</f>
        <v/>
      </c>
      <c r="T219" s="46">
        <f>IF(AND(Creditos!$C$9&lt;&gt;"",Creditos!$M$9="OK",34&lt;=Creditos!$H$9),IF(P219&gt;0.005,E219,999999),999999)</f>
        <v>999999</v>
      </c>
    </row>
    <row r="220" ht="25.5" customHeight="1">
      <c r="C220" s="46" t="str">
        <f>IF(AND(Creditos!$C$9&lt;&gt;"",Creditos!$M$9="OK",35&lt;=Creditos!$H$9),Creditos!$C$9,"")</f>
        <v/>
      </c>
      <c r="D220" s="46" t="str">
        <f>IF(AND(Creditos!$C$9&lt;&gt;"",Creditos!$M$9="OK",35&lt;=Creditos!$H$9),35,"")</f>
        <v/>
      </c>
      <c r="E220" s="47" t="str">
        <f>IF(AND(Creditos!$C$9&lt;&gt;"",Creditos!$M$9="OK",35&lt;=Creditos!$H$9),EDATE(Creditos!$I$9,34),"")</f>
        <v/>
      </c>
      <c r="F220" s="48" t="str">
        <f>IF(AND(Creditos!$C$9&lt;&gt;"",Creditos!$M$9="OK",35&lt;=Creditos!$H$9),M219,"")</f>
        <v/>
      </c>
      <c r="G220" s="49" t="str">
        <f>IF(AND(Creditos!$C$9&lt;&gt;"",Creditos!$M$9="OK",35&lt;=Creditos!$H$9),Creditos!$N$9,"")</f>
        <v/>
      </c>
      <c r="H220" s="48" t="str">
        <f>IF(AND(Creditos!$C$9&lt;&gt;"",Creditos!$M$9="OK",35&lt;=Creditos!$H$9),ROUND(F220*G220,2),"")</f>
        <v/>
      </c>
      <c r="I220" s="48" t="str">
        <f>IF(AND(Creditos!$C$9&lt;&gt;"",Creditos!$M$9="OK",35&lt;=Creditos!$H$9),IF(35=Creditos!$H$9,F220+H220,MIN(Creditos!$O$9,F220+H220)),"")</f>
        <v/>
      </c>
      <c r="J220" s="48" t="str">
        <f>IF(AND(Creditos!$C$9&lt;&gt;"",Creditos!$M$9="OK",35&lt;=Creditos!$H$9),MIN(F220,MAX(0,I220-H220)),"")</f>
        <v/>
      </c>
      <c r="K220" s="48" t="str">
        <f>IF(AND(Creditos!$C$9&lt;&gt;"",Creditos!$M$9="OK",35&lt;=Creditos!$H$9),Creditos!$J$9+Creditos!$K$9,"")</f>
        <v/>
      </c>
      <c r="L220" s="48" t="str">
        <f>IF(AND(Creditos!$C$9&lt;&gt;"",Creditos!$M$9="OK",35&lt;=Creditos!$H$9),I220+K220,"")</f>
        <v/>
      </c>
      <c r="M220" s="48" t="str">
        <f>IF(AND(Creditos!$C$9&lt;&gt;"",Creditos!$M$9="OK",35&lt;=Creditos!$H$9),MAX(0,F220-J220),"")</f>
        <v/>
      </c>
      <c r="N220" s="48" t="str">
        <f>IF(AND(Creditos!$C$9&lt;&gt;"",Creditos!$M$9="OK",35&lt;=Creditos!$H$9),SUMIFS(Pagos!$F$6:$F$305,Pagos!$C$6:$C$305,C220,Pagos!$D$6:$D$305,D220,Pagos!$E$6:$E$305,"&lt;="&amp;Supuestos!$D$6,Pagos!$H$6:$H$305,"OK"),"")</f>
        <v/>
      </c>
      <c r="O220" s="48" t="str">
        <f>IF(AND(Creditos!$C$9&lt;&gt;"",Creditos!$M$9="OK",35&lt;=Creditos!$H$9),MIN(J220,MAX(0,N220-K220-H220)),"")</f>
        <v/>
      </c>
      <c r="P220" s="48" t="str">
        <f>IF(AND(Creditos!$C$9&lt;&gt;"",Creditos!$M$9="OK",35&lt;=Creditos!$H$9),MAX(0,L220-N220),"")</f>
        <v/>
      </c>
      <c r="Q220" s="50" t="str">
        <f>IF(AND(Creditos!$C$9&lt;&gt;"",Creditos!$M$9="OK",35&lt;=Creditos!$H$9),IF(AND(E220&lt;Supuestos!$D$6,P220&gt;0.005),Supuestos!$D$6-E220,0),"")</f>
        <v/>
      </c>
      <c r="R220" s="48" t="str">
        <f>IF(AND(Creditos!$C$9&lt;&gt;"",Creditos!$M$9="OK",35&lt;=Creditos!$H$9),MAX(0,N220-L220),"")</f>
        <v/>
      </c>
      <c r="S220" s="46" t="str">
        <f>IF(AND(Creditos!$C$9&lt;&gt;"",Creditos!$M$9="OK",35&lt;=Creditos!$H$9),IF(R220&gt;0.005,"Exceso sin imputar",IF(P220&lt;=0.005,"Pagada",IF(E220&lt;Supuestos!$D$6,"Vencida",IF(E220=Supuestos!$D$6,"Vence hoy","Por vencer")))),"")</f>
        <v/>
      </c>
      <c r="T220" s="46">
        <f>IF(AND(Creditos!$C$9&lt;&gt;"",Creditos!$M$9="OK",35&lt;=Creditos!$H$9),IF(P220&gt;0.005,E220,999999),999999)</f>
        <v>999999</v>
      </c>
    </row>
    <row r="221" ht="25.5" customHeight="1">
      <c r="C221" s="46" t="str">
        <f>IF(AND(Creditos!$C$9&lt;&gt;"",Creditos!$M$9="OK",36&lt;=Creditos!$H$9),Creditos!$C$9,"")</f>
        <v/>
      </c>
      <c r="D221" s="46" t="str">
        <f>IF(AND(Creditos!$C$9&lt;&gt;"",Creditos!$M$9="OK",36&lt;=Creditos!$H$9),36,"")</f>
        <v/>
      </c>
      <c r="E221" s="47" t="str">
        <f>IF(AND(Creditos!$C$9&lt;&gt;"",Creditos!$M$9="OK",36&lt;=Creditos!$H$9),EDATE(Creditos!$I$9,35),"")</f>
        <v/>
      </c>
      <c r="F221" s="48" t="str">
        <f>IF(AND(Creditos!$C$9&lt;&gt;"",Creditos!$M$9="OK",36&lt;=Creditos!$H$9),M220,"")</f>
        <v/>
      </c>
      <c r="G221" s="49" t="str">
        <f>IF(AND(Creditos!$C$9&lt;&gt;"",Creditos!$M$9="OK",36&lt;=Creditos!$H$9),Creditos!$N$9,"")</f>
        <v/>
      </c>
      <c r="H221" s="48" t="str">
        <f>IF(AND(Creditos!$C$9&lt;&gt;"",Creditos!$M$9="OK",36&lt;=Creditos!$H$9),ROUND(F221*G221,2),"")</f>
        <v/>
      </c>
      <c r="I221" s="48" t="str">
        <f>IF(AND(Creditos!$C$9&lt;&gt;"",Creditos!$M$9="OK",36&lt;=Creditos!$H$9),IF(36=Creditos!$H$9,F221+H221,MIN(Creditos!$O$9,F221+H221)),"")</f>
        <v/>
      </c>
      <c r="J221" s="48" t="str">
        <f>IF(AND(Creditos!$C$9&lt;&gt;"",Creditos!$M$9="OK",36&lt;=Creditos!$H$9),MIN(F221,MAX(0,I221-H221)),"")</f>
        <v/>
      </c>
      <c r="K221" s="48" t="str">
        <f>IF(AND(Creditos!$C$9&lt;&gt;"",Creditos!$M$9="OK",36&lt;=Creditos!$H$9),Creditos!$J$9+Creditos!$K$9,"")</f>
        <v/>
      </c>
      <c r="L221" s="48" t="str">
        <f>IF(AND(Creditos!$C$9&lt;&gt;"",Creditos!$M$9="OK",36&lt;=Creditos!$H$9),I221+K221,"")</f>
        <v/>
      </c>
      <c r="M221" s="48" t="str">
        <f>IF(AND(Creditos!$C$9&lt;&gt;"",Creditos!$M$9="OK",36&lt;=Creditos!$H$9),MAX(0,F221-J221),"")</f>
        <v/>
      </c>
      <c r="N221" s="48" t="str">
        <f>IF(AND(Creditos!$C$9&lt;&gt;"",Creditos!$M$9="OK",36&lt;=Creditos!$H$9),SUMIFS(Pagos!$F$6:$F$305,Pagos!$C$6:$C$305,C221,Pagos!$D$6:$D$305,D221,Pagos!$E$6:$E$305,"&lt;="&amp;Supuestos!$D$6,Pagos!$H$6:$H$305,"OK"),"")</f>
        <v/>
      </c>
      <c r="O221" s="48" t="str">
        <f>IF(AND(Creditos!$C$9&lt;&gt;"",Creditos!$M$9="OK",36&lt;=Creditos!$H$9),MIN(J221,MAX(0,N221-K221-H221)),"")</f>
        <v/>
      </c>
      <c r="P221" s="48" t="str">
        <f>IF(AND(Creditos!$C$9&lt;&gt;"",Creditos!$M$9="OK",36&lt;=Creditos!$H$9),MAX(0,L221-N221),"")</f>
        <v/>
      </c>
      <c r="Q221" s="50" t="str">
        <f>IF(AND(Creditos!$C$9&lt;&gt;"",Creditos!$M$9="OK",36&lt;=Creditos!$H$9),IF(AND(E221&lt;Supuestos!$D$6,P221&gt;0.005),Supuestos!$D$6-E221,0),"")</f>
        <v/>
      </c>
      <c r="R221" s="48" t="str">
        <f>IF(AND(Creditos!$C$9&lt;&gt;"",Creditos!$M$9="OK",36&lt;=Creditos!$H$9),MAX(0,N221-L221),"")</f>
        <v/>
      </c>
      <c r="S221" s="46" t="str">
        <f>IF(AND(Creditos!$C$9&lt;&gt;"",Creditos!$M$9="OK",36&lt;=Creditos!$H$9),IF(R221&gt;0.005,"Exceso sin imputar",IF(P221&lt;=0.005,"Pagada",IF(E221&lt;Supuestos!$D$6,"Vencida",IF(E221=Supuestos!$D$6,"Vence hoy","Por vencer")))),"")</f>
        <v/>
      </c>
      <c r="T221" s="46">
        <f>IF(AND(Creditos!$C$9&lt;&gt;"",Creditos!$M$9="OK",36&lt;=Creditos!$H$9),IF(P221&gt;0.005,E221,999999),999999)</f>
        <v>999999</v>
      </c>
    </row>
    <row r="222" ht="25.5" customHeight="1">
      <c r="C222" s="46" t="str">
        <f>IF(AND(Creditos!$C$9&lt;&gt;"",Creditos!$M$9="OK",37&lt;=Creditos!$H$9),Creditos!$C$9,"")</f>
        <v/>
      </c>
      <c r="D222" s="46" t="str">
        <f>IF(AND(Creditos!$C$9&lt;&gt;"",Creditos!$M$9="OK",37&lt;=Creditos!$H$9),37,"")</f>
        <v/>
      </c>
      <c r="E222" s="47" t="str">
        <f>IF(AND(Creditos!$C$9&lt;&gt;"",Creditos!$M$9="OK",37&lt;=Creditos!$H$9),EDATE(Creditos!$I$9,36),"")</f>
        <v/>
      </c>
      <c r="F222" s="48" t="str">
        <f>IF(AND(Creditos!$C$9&lt;&gt;"",Creditos!$M$9="OK",37&lt;=Creditos!$H$9),M221,"")</f>
        <v/>
      </c>
      <c r="G222" s="49" t="str">
        <f>IF(AND(Creditos!$C$9&lt;&gt;"",Creditos!$M$9="OK",37&lt;=Creditos!$H$9),Creditos!$N$9,"")</f>
        <v/>
      </c>
      <c r="H222" s="48" t="str">
        <f>IF(AND(Creditos!$C$9&lt;&gt;"",Creditos!$M$9="OK",37&lt;=Creditos!$H$9),ROUND(F222*G222,2),"")</f>
        <v/>
      </c>
      <c r="I222" s="48" t="str">
        <f>IF(AND(Creditos!$C$9&lt;&gt;"",Creditos!$M$9="OK",37&lt;=Creditos!$H$9),IF(37=Creditos!$H$9,F222+H222,MIN(Creditos!$O$9,F222+H222)),"")</f>
        <v/>
      </c>
      <c r="J222" s="48" t="str">
        <f>IF(AND(Creditos!$C$9&lt;&gt;"",Creditos!$M$9="OK",37&lt;=Creditos!$H$9),MIN(F222,MAX(0,I222-H222)),"")</f>
        <v/>
      </c>
      <c r="K222" s="48" t="str">
        <f>IF(AND(Creditos!$C$9&lt;&gt;"",Creditos!$M$9="OK",37&lt;=Creditos!$H$9),Creditos!$J$9+Creditos!$K$9,"")</f>
        <v/>
      </c>
      <c r="L222" s="48" t="str">
        <f>IF(AND(Creditos!$C$9&lt;&gt;"",Creditos!$M$9="OK",37&lt;=Creditos!$H$9),I222+K222,"")</f>
        <v/>
      </c>
      <c r="M222" s="48" t="str">
        <f>IF(AND(Creditos!$C$9&lt;&gt;"",Creditos!$M$9="OK",37&lt;=Creditos!$H$9),MAX(0,F222-J222),"")</f>
        <v/>
      </c>
      <c r="N222" s="48" t="str">
        <f>IF(AND(Creditos!$C$9&lt;&gt;"",Creditos!$M$9="OK",37&lt;=Creditos!$H$9),SUMIFS(Pagos!$F$6:$F$305,Pagos!$C$6:$C$305,C222,Pagos!$D$6:$D$305,D222,Pagos!$E$6:$E$305,"&lt;="&amp;Supuestos!$D$6,Pagos!$H$6:$H$305,"OK"),"")</f>
        <v/>
      </c>
      <c r="O222" s="48" t="str">
        <f>IF(AND(Creditos!$C$9&lt;&gt;"",Creditos!$M$9="OK",37&lt;=Creditos!$H$9),MIN(J222,MAX(0,N222-K222-H222)),"")</f>
        <v/>
      </c>
      <c r="P222" s="48" t="str">
        <f>IF(AND(Creditos!$C$9&lt;&gt;"",Creditos!$M$9="OK",37&lt;=Creditos!$H$9),MAX(0,L222-N222),"")</f>
        <v/>
      </c>
      <c r="Q222" s="50" t="str">
        <f>IF(AND(Creditos!$C$9&lt;&gt;"",Creditos!$M$9="OK",37&lt;=Creditos!$H$9),IF(AND(E222&lt;Supuestos!$D$6,P222&gt;0.005),Supuestos!$D$6-E222,0),"")</f>
        <v/>
      </c>
      <c r="R222" s="48" t="str">
        <f>IF(AND(Creditos!$C$9&lt;&gt;"",Creditos!$M$9="OK",37&lt;=Creditos!$H$9),MAX(0,N222-L222),"")</f>
        <v/>
      </c>
      <c r="S222" s="46" t="str">
        <f>IF(AND(Creditos!$C$9&lt;&gt;"",Creditos!$M$9="OK",37&lt;=Creditos!$H$9),IF(R222&gt;0.005,"Exceso sin imputar",IF(P222&lt;=0.005,"Pagada",IF(E222&lt;Supuestos!$D$6,"Vencida",IF(E222=Supuestos!$D$6,"Vence hoy","Por vencer")))),"")</f>
        <v/>
      </c>
      <c r="T222" s="46">
        <f>IF(AND(Creditos!$C$9&lt;&gt;"",Creditos!$M$9="OK",37&lt;=Creditos!$H$9),IF(P222&gt;0.005,E222,999999),999999)</f>
        <v>999999</v>
      </c>
    </row>
    <row r="223" ht="25.5" customHeight="1">
      <c r="C223" s="46" t="str">
        <f>IF(AND(Creditos!$C$9&lt;&gt;"",Creditos!$M$9="OK",38&lt;=Creditos!$H$9),Creditos!$C$9,"")</f>
        <v/>
      </c>
      <c r="D223" s="46" t="str">
        <f>IF(AND(Creditos!$C$9&lt;&gt;"",Creditos!$M$9="OK",38&lt;=Creditos!$H$9),38,"")</f>
        <v/>
      </c>
      <c r="E223" s="47" t="str">
        <f>IF(AND(Creditos!$C$9&lt;&gt;"",Creditos!$M$9="OK",38&lt;=Creditos!$H$9),EDATE(Creditos!$I$9,37),"")</f>
        <v/>
      </c>
      <c r="F223" s="48" t="str">
        <f>IF(AND(Creditos!$C$9&lt;&gt;"",Creditos!$M$9="OK",38&lt;=Creditos!$H$9),M222,"")</f>
        <v/>
      </c>
      <c r="G223" s="49" t="str">
        <f>IF(AND(Creditos!$C$9&lt;&gt;"",Creditos!$M$9="OK",38&lt;=Creditos!$H$9),Creditos!$N$9,"")</f>
        <v/>
      </c>
      <c r="H223" s="48" t="str">
        <f>IF(AND(Creditos!$C$9&lt;&gt;"",Creditos!$M$9="OK",38&lt;=Creditos!$H$9),ROUND(F223*G223,2),"")</f>
        <v/>
      </c>
      <c r="I223" s="48" t="str">
        <f>IF(AND(Creditos!$C$9&lt;&gt;"",Creditos!$M$9="OK",38&lt;=Creditos!$H$9),IF(38=Creditos!$H$9,F223+H223,MIN(Creditos!$O$9,F223+H223)),"")</f>
        <v/>
      </c>
      <c r="J223" s="48" t="str">
        <f>IF(AND(Creditos!$C$9&lt;&gt;"",Creditos!$M$9="OK",38&lt;=Creditos!$H$9),MIN(F223,MAX(0,I223-H223)),"")</f>
        <v/>
      </c>
      <c r="K223" s="48" t="str">
        <f>IF(AND(Creditos!$C$9&lt;&gt;"",Creditos!$M$9="OK",38&lt;=Creditos!$H$9),Creditos!$J$9+Creditos!$K$9,"")</f>
        <v/>
      </c>
      <c r="L223" s="48" t="str">
        <f>IF(AND(Creditos!$C$9&lt;&gt;"",Creditos!$M$9="OK",38&lt;=Creditos!$H$9),I223+K223,"")</f>
        <v/>
      </c>
      <c r="M223" s="48" t="str">
        <f>IF(AND(Creditos!$C$9&lt;&gt;"",Creditos!$M$9="OK",38&lt;=Creditos!$H$9),MAX(0,F223-J223),"")</f>
        <v/>
      </c>
      <c r="N223" s="48" t="str">
        <f>IF(AND(Creditos!$C$9&lt;&gt;"",Creditos!$M$9="OK",38&lt;=Creditos!$H$9),SUMIFS(Pagos!$F$6:$F$305,Pagos!$C$6:$C$305,C223,Pagos!$D$6:$D$305,D223,Pagos!$E$6:$E$305,"&lt;="&amp;Supuestos!$D$6,Pagos!$H$6:$H$305,"OK"),"")</f>
        <v/>
      </c>
      <c r="O223" s="48" t="str">
        <f>IF(AND(Creditos!$C$9&lt;&gt;"",Creditos!$M$9="OK",38&lt;=Creditos!$H$9),MIN(J223,MAX(0,N223-K223-H223)),"")</f>
        <v/>
      </c>
      <c r="P223" s="48" t="str">
        <f>IF(AND(Creditos!$C$9&lt;&gt;"",Creditos!$M$9="OK",38&lt;=Creditos!$H$9),MAX(0,L223-N223),"")</f>
        <v/>
      </c>
      <c r="Q223" s="50" t="str">
        <f>IF(AND(Creditos!$C$9&lt;&gt;"",Creditos!$M$9="OK",38&lt;=Creditos!$H$9),IF(AND(E223&lt;Supuestos!$D$6,P223&gt;0.005),Supuestos!$D$6-E223,0),"")</f>
        <v/>
      </c>
      <c r="R223" s="48" t="str">
        <f>IF(AND(Creditos!$C$9&lt;&gt;"",Creditos!$M$9="OK",38&lt;=Creditos!$H$9),MAX(0,N223-L223),"")</f>
        <v/>
      </c>
      <c r="S223" s="46" t="str">
        <f>IF(AND(Creditos!$C$9&lt;&gt;"",Creditos!$M$9="OK",38&lt;=Creditos!$H$9),IF(R223&gt;0.005,"Exceso sin imputar",IF(P223&lt;=0.005,"Pagada",IF(E223&lt;Supuestos!$D$6,"Vencida",IF(E223=Supuestos!$D$6,"Vence hoy","Por vencer")))),"")</f>
        <v/>
      </c>
      <c r="T223" s="46">
        <f>IF(AND(Creditos!$C$9&lt;&gt;"",Creditos!$M$9="OK",38&lt;=Creditos!$H$9),IF(P223&gt;0.005,E223,999999),999999)</f>
        <v>999999</v>
      </c>
    </row>
    <row r="224" ht="25.5" customHeight="1">
      <c r="C224" s="46" t="str">
        <f>IF(AND(Creditos!$C$9&lt;&gt;"",Creditos!$M$9="OK",39&lt;=Creditos!$H$9),Creditos!$C$9,"")</f>
        <v/>
      </c>
      <c r="D224" s="46" t="str">
        <f>IF(AND(Creditos!$C$9&lt;&gt;"",Creditos!$M$9="OK",39&lt;=Creditos!$H$9),39,"")</f>
        <v/>
      </c>
      <c r="E224" s="47" t="str">
        <f>IF(AND(Creditos!$C$9&lt;&gt;"",Creditos!$M$9="OK",39&lt;=Creditos!$H$9),EDATE(Creditos!$I$9,38),"")</f>
        <v/>
      </c>
      <c r="F224" s="48" t="str">
        <f>IF(AND(Creditos!$C$9&lt;&gt;"",Creditos!$M$9="OK",39&lt;=Creditos!$H$9),M223,"")</f>
        <v/>
      </c>
      <c r="G224" s="49" t="str">
        <f>IF(AND(Creditos!$C$9&lt;&gt;"",Creditos!$M$9="OK",39&lt;=Creditos!$H$9),Creditos!$N$9,"")</f>
        <v/>
      </c>
      <c r="H224" s="48" t="str">
        <f>IF(AND(Creditos!$C$9&lt;&gt;"",Creditos!$M$9="OK",39&lt;=Creditos!$H$9),ROUND(F224*G224,2),"")</f>
        <v/>
      </c>
      <c r="I224" s="48" t="str">
        <f>IF(AND(Creditos!$C$9&lt;&gt;"",Creditos!$M$9="OK",39&lt;=Creditos!$H$9),IF(39=Creditos!$H$9,F224+H224,MIN(Creditos!$O$9,F224+H224)),"")</f>
        <v/>
      </c>
      <c r="J224" s="48" t="str">
        <f>IF(AND(Creditos!$C$9&lt;&gt;"",Creditos!$M$9="OK",39&lt;=Creditos!$H$9),MIN(F224,MAX(0,I224-H224)),"")</f>
        <v/>
      </c>
      <c r="K224" s="48" t="str">
        <f>IF(AND(Creditos!$C$9&lt;&gt;"",Creditos!$M$9="OK",39&lt;=Creditos!$H$9),Creditos!$J$9+Creditos!$K$9,"")</f>
        <v/>
      </c>
      <c r="L224" s="48" t="str">
        <f>IF(AND(Creditos!$C$9&lt;&gt;"",Creditos!$M$9="OK",39&lt;=Creditos!$H$9),I224+K224,"")</f>
        <v/>
      </c>
      <c r="M224" s="48" t="str">
        <f>IF(AND(Creditos!$C$9&lt;&gt;"",Creditos!$M$9="OK",39&lt;=Creditos!$H$9),MAX(0,F224-J224),"")</f>
        <v/>
      </c>
      <c r="N224" s="48" t="str">
        <f>IF(AND(Creditos!$C$9&lt;&gt;"",Creditos!$M$9="OK",39&lt;=Creditos!$H$9),SUMIFS(Pagos!$F$6:$F$305,Pagos!$C$6:$C$305,C224,Pagos!$D$6:$D$305,D224,Pagos!$E$6:$E$305,"&lt;="&amp;Supuestos!$D$6,Pagos!$H$6:$H$305,"OK"),"")</f>
        <v/>
      </c>
      <c r="O224" s="48" t="str">
        <f>IF(AND(Creditos!$C$9&lt;&gt;"",Creditos!$M$9="OK",39&lt;=Creditos!$H$9),MIN(J224,MAX(0,N224-K224-H224)),"")</f>
        <v/>
      </c>
      <c r="P224" s="48" t="str">
        <f>IF(AND(Creditos!$C$9&lt;&gt;"",Creditos!$M$9="OK",39&lt;=Creditos!$H$9),MAX(0,L224-N224),"")</f>
        <v/>
      </c>
      <c r="Q224" s="50" t="str">
        <f>IF(AND(Creditos!$C$9&lt;&gt;"",Creditos!$M$9="OK",39&lt;=Creditos!$H$9),IF(AND(E224&lt;Supuestos!$D$6,P224&gt;0.005),Supuestos!$D$6-E224,0),"")</f>
        <v/>
      </c>
      <c r="R224" s="48" t="str">
        <f>IF(AND(Creditos!$C$9&lt;&gt;"",Creditos!$M$9="OK",39&lt;=Creditos!$H$9),MAX(0,N224-L224),"")</f>
        <v/>
      </c>
      <c r="S224" s="46" t="str">
        <f>IF(AND(Creditos!$C$9&lt;&gt;"",Creditos!$M$9="OK",39&lt;=Creditos!$H$9),IF(R224&gt;0.005,"Exceso sin imputar",IF(P224&lt;=0.005,"Pagada",IF(E224&lt;Supuestos!$D$6,"Vencida",IF(E224=Supuestos!$D$6,"Vence hoy","Por vencer")))),"")</f>
        <v/>
      </c>
      <c r="T224" s="46">
        <f>IF(AND(Creditos!$C$9&lt;&gt;"",Creditos!$M$9="OK",39&lt;=Creditos!$H$9),IF(P224&gt;0.005,E224,999999),999999)</f>
        <v>999999</v>
      </c>
    </row>
    <row r="225" ht="25.5" customHeight="1">
      <c r="C225" s="46" t="str">
        <f>IF(AND(Creditos!$C$9&lt;&gt;"",Creditos!$M$9="OK",40&lt;=Creditos!$H$9),Creditos!$C$9,"")</f>
        <v/>
      </c>
      <c r="D225" s="46" t="str">
        <f>IF(AND(Creditos!$C$9&lt;&gt;"",Creditos!$M$9="OK",40&lt;=Creditos!$H$9),40,"")</f>
        <v/>
      </c>
      <c r="E225" s="47" t="str">
        <f>IF(AND(Creditos!$C$9&lt;&gt;"",Creditos!$M$9="OK",40&lt;=Creditos!$H$9),EDATE(Creditos!$I$9,39),"")</f>
        <v/>
      </c>
      <c r="F225" s="48" t="str">
        <f>IF(AND(Creditos!$C$9&lt;&gt;"",Creditos!$M$9="OK",40&lt;=Creditos!$H$9),M224,"")</f>
        <v/>
      </c>
      <c r="G225" s="49" t="str">
        <f>IF(AND(Creditos!$C$9&lt;&gt;"",Creditos!$M$9="OK",40&lt;=Creditos!$H$9),Creditos!$N$9,"")</f>
        <v/>
      </c>
      <c r="H225" s="48" t="str">
        <f>IF(AND(Creditos!$C$9&lt;&gt;"",Creditos!$M$9="OK",40&lt;=Creditos!$H$9),ROUND(F225*G225,2),"")</f>
        <v/>
      </c>
      <c r="I225" s="48" t="str">
        <f>IF(AND(Creditos!$C$9&lt;&gt;"",Creditos!$M$9="OK",40&lt;=Creditos!$H$9),IF(40=Creditos!$H$9,F225+H225,MIN(Creditos!$O$9,F225+H225)),"")</f>
        <v/>
      </c>
      <c r="J225" s="48" t="str">
        <f>IF(AND(Creditos!$C$9&lt;&gt;"",Creditos!$M$9="OK",40&lt;=Creditos!$H$9),MIN(F225,MAX(0,I225-H225)),"")</f>
        <v/>
      </c>
      <c r="K225" s="48" t="str">
        <f>IF(AND(Creditos!$C$9&lt;&gt;"",Creditos!$M$9="OK",40&lt;=Creditos!$H$9),Creditos!$J$9+Creditos!$K$9,"")</f>
        <v/>
      </c>
      <c r="L225" s="48" t="str">
        <f>IF(AND(Creditos!$C$9&lt;&gt;"",Creditos!$M$9="OK",40&lt;=Creditos!$H$9),I225+K225,"")</f>
        <v/>
      </c>
      <c r="M225" s="48" t="str">
        <f>IF(AND(Creditos!$C$9&lt;&gt;"",Creditos!$M$9="OK",40&lt;=Creditos!$H$9),MAX(0,F225-J225),"")</f>
        <v/>
      </c>
      <c r="N225" s="48" t="str">
        <f>IF(AND(Creditos!$C$9&lt;&gt;"",Creditos!$M$9="OK",40&lt;=Creditos!$H$9),SUMIFS(Pagos!$F$6:$F$305,Pagos!$C$6:$C$305,C225,Pagos!$D$6:$D$305,D225,Pagos!$E$6:$E$305,"&lt;="&amp;Supuestos!$D$6,Pagos!$H$6:$H$305,"OK"),"")</f>
        <v/>
      </c>
      <c r="O225" s="48" t="str">
        <f>IF(AND(Creditos!$C$9&lt;&gt;"",Creditos!$M$9="OK",40&lt;=Creditos!$H$9),MIN(J225,MAX(0,N225-K225-H225)),"")</f>
        <v/>
      </c>
      <c r="P225" s="48" t="str">
        <f>IF(AND(Creditos!$C$9&lt;&gt;"",Creditos!$M$9="OK",40&lt;=Creditos!$H$9),MAX(0,L225-N225),"")</f>
        <v/>
      </c>
      <c r="Q225" s="50" t="str">
        <f>IF(AND(Creditos!$C$9&lt;&gt;"",Creditos!$M$9="OK",40&lt;=Creditos!$H$9),IF(AND(E225&lt;Supuestos!$D$6,P225&gt;0.005),Supuestos!$D$6-E225,0),"")</f>
        <v/>
      </c>
      <c r="R225" s="48" t="str">
        <f>IF(AND(Creditos!$C$9&lt;&gt;"",Creditos!$M$9="OK",40&lt;=Creditos!$H$9),MAX(0,N225-L225),"")</f>
        <v/>
      </c>
      <c r="S225" s="46" t="str">
        <f>IF(AND(Creditos!$C$9&lt;&gt;"",Creditos!$M$9="OK",40&lt;=Creditos!$H$9),IF(R225&gt;0.005,"Exceso sin imputar",IF(P225&lt;=0.005,"Pagada",IF(E225&lt;Supuestos!$D$6,"Vencida",IF(E225=Supuestos!$D$6,"Vence hoy","Por vencer")))),"")</f>
        <v/>
      </c>
      <c r="T225" s="46">
        <f>IF(AND(Creditos!$C$9&lt;&gt;"",Creditos!$M$9="OK",40&lt;=Creditos!$H$9),IF(P225&gt;0.005,E225,999999),999999)</f>
        <v>999999</v>
      </c>
    </row>
    <row r="226" ht="25.5" customHeight="1">
      <c r="C226" s="46" t="str">
        <f>IF(AND(Creditos!$C$9&lt;&gt;"",Creditos!$M$9="OK",41&lt;=Creditos!$H$9),Creditos!$C$9,"")</f>
        <v/>
      </c>
      <c r="D226" s="46" t="str">
        <f>IF(AND(Creditos!$C$9&lt;&gt;"",Creditos!$M$9="OK",41&lt;=Creditos!$H$9),41,"")</f>
        <v/>
      </c>
      <c r="E226" s="47" t="str">
        <f>IF(AND(Creditos!$C$9&lt;&gt;"",Creditos!$M$9="OK",41&lt;=Creditos!$H$9),EDATE(Creditos!$I$9,40),"")</f>
        <v/>
      </c>
      <c r="F226" s="48" t="str">
        <f>IF(AND(Creditos!$C$9&lt;&gt;"",Creditos!$M$9="OK",41&lt;=Creditos!$H$9),M225,"")</f>
        <v/>
      </c>
      <c r="G226" s="49" t="str">
        <f>IF(AND(Creditos!$C$9&lt;&gt;"",Creditos!$M$9="OK",41&lt;=Creditos!$H$9),Creditos!$N$9,"")</f>
        <v/>
      </c>
      <c r="H226" s="48" t="str">
        <f>IF(AND(Creditos!$C$9&lt;&gt;"",Creditos!$M$9="OK",41&lt;=Creditos!$H$9),ROUND(F226*G226,2),"")</f>
        <v/>
      </c>
      <c r="I226" s="48" t="str">
        <f>IF(AND(Creditos!$C$9&lt;&gt;"",Creditos!$M$9="OK",41&lt;=Creditos!$H$9),IF(41=Creditos!$H$9,F226+H226,MIN(Creditos!$O$9,F226+H226)),"")</f>
        <v/>
      </c>
      <c r="J226" s="48" t="str">
        <f>IF(AND(Creditos!$C$9&lt;&gt;"",Creditos!$M$9="OK",41&lt;=Creditos!$H$9),MIN(F226,MAX(0,I226-H226)),"")</f>
        <v/>
      </c>
      <c r="K226" s="48" t="str">
        <f>IF(AND(Creditos!$C$9&lt;&gt;"",Creditos!$M$9="OK",41&lt;=Creditos!$H$9),Creditos!$J$9+Creditos!$K$9,"")</f>
        <v/>
      </c>
      <c r="L226" s="48" t="str">
        <f>IF(AND(Creditos!$C$9&lt;&gt;"",Creditos!$M$9="OK",41&lt;=Creditos!$H$9),I226+K226,"")</f>
        <v/>
      </c>
      <c r="M226" s="48" t="str">
        <f>IF(AND(Creditos!$C$9&lt;&gt;"",Creditos!$M$9="OK",41&lt;=Creditos!$H$9),MAX(0,F226-J226),"")</f>
        <v/>
      </c>
      <c r="N226" s="48" t="str">
        <f>IF(AND(Creditos!$C$9&lt;&gt;"",Creditos!$M$9="OK",41&lt;=Creditos!$H$9),SUMIFS(Pagos!$F$6:$F$305,Pagos!$C$6:$C$305,C226,Pagos!$D$6:$D$305,D226,Pagos!$E$6:$E$305,"&lt;="&amp;Supuestos!$D$6,Pagos!$H$6:$H$305,"OK"),"")</f>
        <v/>
      </c>
      <c r="O226" s="48" t="str">
        <f>IF(AND(Creditos!$C$9&lt;&gt;"",Creditos!$M$9="OK",41&lt;=Creditos!$H$9),MIN(J226,MAX(0,N226-K226-H226)),"")</f>
        <v/>
      </c>
      <c r="P226" s="48" t="str">
        <f>IF(AND(Creditos!$C$9&lt;&gt;"",Creditos!$M$9="OK",41&lt;=Creditos!$H$9),MAX(0,L226-N226),"")</f>
        <v/>
      </c>
      <c r="Q226" s="50" t="str">
        <f>IF(AND(Creditos!$C$9&lt;&gt;"",Creditos!$M$9="OK",41&lt;=Creditos!$H$9),IF(AND(E226&lt;Supuestos!$D$6,P226&gt;0.005),Supuestos!$D$6-E226,0),"")</f>
        <v/>
      </c>
      <c r="R226" s="48" t="str">
        <f>IF(AND(Creditos!$C$9&lt;&gt;"",Creditos!$M$9="OK",41&lt;=Creditos!$H$9),MAX(0,N226-L226),"")</f>
        <v/>
      </c>
      <c r="S226" s="46" t="str">
        <f>IF(AND(Creditos!$C$9&lt;&gt;"",Creditos!$M$9="OK",41&lt;=Creditos!$H$9),IF(R226&gt;0.005,"Exceso sin imputar",IF(P226&lt;=0.005,"Pagada",IF(E226&lt;Supuestos!$D$6,"Vencida",IF(E226=Supuestos!$D$6,"Vence hoy","Por vencer")))),"")</f>
        <v/>
      </c>
      <c r="T226" s="46">
        <f>IF(AND(Creditos!$C$9&lt;&gt;"",Creditos!$M$9="OK",41&lt;=Creditos!$H$9),IF(P226&gt;0.005,E226,999999),999999)</f>
        <v>999999</v>
      </c>
    </row>
    <row r="227" ht="25.5" customHeight="1">
      <c r="C227" s="46" t="str">
        <f>IF(AND(Creditos!$C$9&lt;&gt;"",Creditos!$M$9="OK",42&lt;=Creditos!$H$9),Creditos!$C$9,"")</f>
        <v/>
      </c>
      <c r="D227" s="46" t="str">
        <f>IF(AND(Creditos!$C$9&lt;&gt;"",Creditos!$M$9="OK",42&lt;=Creditos!$H$9),42,"")</f>
        <v/>
      </c>
      <c r="E227" s="47" t="str">
        <f>IF(AND(Creditos!$C$9&lt;&gt;"",Creditos!$M$9="OK",42&lt;=Creditos!$H$9),EDATE(Creditos!$I$9,41),"")</f>
        <v/>
      </c>
      <c r="F227" s="48" t="str">
        <f>IF(AND(Creditos!$C$9&lt;&gt;"",Creditos!$M$9="OK",42&lt;=Creditos!$H$9),M226,"")</f>
        <v/>
      </c>
      <c r="G227" s="49" t="str">
        <f>IF(AND(Creditos!$C$9&lt;&gt;"",Creditos!$M$9="OK",42&lt;=Creditos!$H$9),Creditos!$N$9,"")</f>
        <v/>
      </c>
      <c r="H227" s="48" t="str">
        <f>IF(AND(Creditos!$C$9&lt;&gt;"",Creditos!$M$9="OK",42&lt;=Creditos!$H$9),ROUND(F227*G227,2),"")</f>
        <v/>
      </c>
      <c r="I227" s="48" t="str">
        <f>IF(AND(Creditos!$C$9&lt;&gt;"",Creditos!$M$9="OK",42&lt;=Creditos!$H$9),IF(42=Creditos!$H$9,F227+H227,MIN(Creditos!$O$9,F227+H227)),"")</f>
        <v/>
      </c>
      <c r="J227" s="48" t="str">
        <f>IF(AND(Creditos!$C$9&lt;&gt;"",Creditos!$M$9="OK",42&lt;=Creditos!$H$9),MIN(F227,MAX(0,I227-H227)),"")</f>
        <v/>
      </c>
      <c r="K227" s="48" t="str">
        <f>IF(AND(Creditos!$C$9&lt;&gt;"",Creditos!$M$9="OK",42&lt;=Creditos!$H$9),Creditos!$J$9+Creditos!$K$9,"")</f>
        <v/>
      </c>
      <c r="L227" s="48" t="str">
        <f>IF(AND(Creditos!$C$9&lt;&gt;"",Creditos!$M$9="OK",42&lt;=Creditos!$H$9),I227+K227,"")</f>
        <v/>
      </c>
      <c r="M227" s="48" t="str">
        <f>IF(AND(Creditos!$C$9&lt;&gt;"",Creditos!$M$9="OK",42&lt;=Creditos!$H$9),MAX(0,F227-J227),"")</f>
        <v/>
      </c>
      <c r="N227" s="48" t="str">
        <f>IF(AND(Creditos!$C$9&lt;&gt;"",Creditos!$M$9="OK",42&lt;=Creditos!$H$9),SUMIFS(Pagos!$F$6:$F$305,Pagos!$C$6:$C$305,C227,Pagos!$D$6:$D$305,D227,Pagos!$E$6:$E$305,"&lt;="&amp;Supuestos!$D$6,Pagos!$H$6:$H$305,"OK"),"")</f>
        <v/>
      </c>
      <c r="O227" s="48" t="str">
        <f>IF(AND(Creditos!$C$9&lt;&gt;"",Creditos!$M$9="OK",42&lt;=Creditos!$H$9),MIN(J227,MAX(0,N227-K227-H227)),"")</f>
        <v/>
      </c>
      <c r="P227" s="48" t="str">
        <f>IF(AND(Creditos!$C$9&lt;&gt;"",Creditos!$M$9="OK",42&lt;=Creditos!$H$9),MAX(0,L227-N227),"")</f>
        <v/>
      </c>
      <c r="Q227" s="50" t="str">
        <f>IF(AND(Creditos!$C$9&lt;&gt;"",Creditos!$M$9="OK",42&lt;=Creditos!$H$9),IF(AND(E227&lt;Supuestos!$D$6,P227&gt;0.005),Supuestos!$D$6-E227,0),"")</f>
        <v/>
      </c>
      <c r="R227" s="48" t="str">
        <f>IF(AND(Creditos!$C$9&lt;&gt;"",Creditos!$M$9="OK",42&lt;=Creditos!$H$9),MAX(0,N227-L227),"")</f>
        <v/>
      </c>
      <c r="S227" s="46" t="str">
        <f>IF(AND(Creditos!$C$9&lt;&gt;"",Creditos!$M$9="OK",42&lt;=Creditos!$H$9),IF(R227&gt;0.005,"Exceso sin imputar",IF(P227&lt;=0.005,"Pagada",IF(E227&lt;Supuestos!$D$6,"Vencida",IF(E227=Supuestos!$D$6,"Vence hoy","Por vencer")))),"")</f>
        <v/>
      </c>
      <c r="T227" s="46">
        <f>IF(AND(Creditos!$C$9&lt;&gt;"",Creditos!$M$9="OK",42&lt;=Creditos!$H$9),IF(P227&gt;0.005,E227,999999),999999)</f>
        <v>999999</v>
      </c>
    </row>
    <row r="228" ht="25.5" customHeight="1">
      <c r="C228" s="46" t="str">
        <f>IF(AND(Creditos!$C$9&lt;&gt;"",Creditos!$M$9="OK",43&lt;=Creditos!$H$9),Creditos!$C$9,"")</f>
        <v/>
      </c>
      <c r="D228" s="46" t="str">
        <f>IF(AND(Creditos!$C$9&lt;&gt;"",Creditos!$M$9="OK",43&lt;=Creditos!$H$9),43,"")</f>
        <v/>
      </c>
      <c r="E228" s="47" t="str">
        <f>IF(AND(Creditos!$C$9&lt;&gt;"",Creditos!$M$9="OK",43&lt;=Creditos!$H$9),EDATE(Creditos!$I$9,42),"")</f>
        <v/>
      </c>
      <c r="F228" s="48" t="str">
        <f>IF(AND(Creditos!$C$9&lt;&gt;"",Creditos!$M$9="OK",43&lt;=Creditos!$H$9),M227,"")</f>
        <v/>
      </c>
      <c r="G228" s="49" t="str">
        <f>IF(AND(Creditos!$C$9&lt;&gt;"",Creditos!$M$9="OK",43&lt;=Creditos!$H$9),Creditos!$N$9,"")</f>
        <v/>
      </c>
      <c r="H228" s="48" t="str">
        <f>IF(AND(Creditos!$C$9&lt;&gt;"",Creditos!$M$9="OK",43&lt;=Creditos!$H$9),ROUND(F228*G228,2),"")</f>
        <v/>
      </c>
      <c r="I228" s="48" t="str">
        <f>IF(AND(Creditos!$C$9&lt;&gt;"",Creditos!$M$9="OK",43&lt;=Creditos!$H$9),IF(43=Creditos!$H$9,F228+H228,MIN(Creditos!$O$9,F228+H228)),"")</f>
        <v/>
      </c>
      <c r="J228" s="48" t="str">
        <f>IF(AND(Creditos!$C$9&lt;&gt;"",Creditos!$M$9="OK",43&lt;=Creditos!$H$9),MIN(F228,MAX(0,I228-H228)),"")</f>
        <v/>
      </c>
      <c r="K228" s="48" t="str">
        <f>IF(AND(Creditos!$C$9&lt;&gt;"",Creditos!$M$9="OK",43&lt;=Creditos!$H$9),Creditos!$J$9+Creditos!$K$9,"")</f>
        <v/>
      </c>
      <c r="L228" s="48" t="str">
        <f>IF(AND(Creditos!$C$9&lt;&gt;"",Creditos!$M$9="OK",43&lt;=Creditos!$H$9),I228+K228,"")</f>
        <v/>
      </c>
      <c r="M228" s="48" t="str">
        <f>IF(AND(Creditos!$C$9&lt;&gt;"",Creditos!$M$9="OK",43&lt;=Creditos!$H$9),MAX(0,F228-J228),"")</f>
        <v/>
      </c>
      <c r="N228" s="48" t="str">
        <f>IF(AND(Creditos!$C$9&lt;&gt;"",Creditos!$M$9="OK",43&lt;=Creditos!$H$9),SUMIFS(Pagos!$F$6:$F$305,Pagos!$C$6:$C$305,C228,Pagos!$D$6:$D$305,D228,Pagos!$E$6:$E$305,"&lt;="&amp;Supuestos!$D$6,Pagos!$H$6:$H$305,"OK"),"")</f>
        <v/>
      </c>
      <c r="O228" s="48" t="str">
        <f>IF(AND(Creditos!$C$9&lt;&gt;"",Creditos!$M$9="OK",43&lt;=Creditos!$H$9),MIN(J228,MAX(0,N228-K228-H228)),"")</f>
        <v/>
      </c>
      <c r="P228" s="48" t="str">
        <f>IF(AND(Creditos!$C$9&lt;&gt;"",Creditos!$M$9="OK",43&lt;=Creditos!$H$9),MAX(0,L228-N228),"")</f>
        <v/>
      </c>
      <c r="Q228" s="50" t="str">
        <f>IF(AND(Creditos!$C$9&lt;&gt;"",Creditos!$M$9="OK",43&lt;=Creditos!$H$9),IF(AND(E228&lt;Supuestos!$D$6,P228&gt;0.005),Supuestos!$D$6-E228,0),"")</f>
        <v/>
      </c>
      <c r="R228" s="48" t="str">
        <f>IF(AND(Creditos!$C$9&lt;&gt;"",Creditos!$M$9="OK",43&lt;=Creditos!$H$9),MAX(0,N228-L228),"")</f>
        <v/>
      </c>
      <c r="S228" s="46" t="str">
        <f>IF(AND(Creditos!$C$9&lt;&gt;"",Creditos!$M$9="OK",43&lt;=Creditos!$H$9),IF(R228&gt;0.005,"Exceso sin imputar",IF(P228&lt;=0.005,"Pagada",IF(E228&lt;Supuestos!$D$6,"Vencida",IF(E228=Supuestos!$D$6,"Vence hoy","Por vencer")))),"")</f>
        <v/>
      </c>
      <c r="T228" s="46">
        <f>IF(AND(Creditos!$C$9&lt;&gt;"",Creditos!$M$9="OK",43&lt;=Creditos!$H$9),IF(P228&gt;0.005,E228,999999),999999)</f>
        <v>999999</v>
      </c>
    </row>
    <row r="229" ht="25.5" customHeight="1">
      <c r="C229" s="46" t="str">
        <f>IF(AND(Creditos!$C$9&lt;&gt;"",Creditos!$M$9="OK",44&lt;=Creditos!$H$9),Creditos!$C$9,"")</f>
        <v/>
      </c>
      <c r="D229" s="46" t="str">
        <f>IF(AND(Creditos!$C$9&lt;&gt;"",Creditos!$M$9="OK",44&lt;=Creditos!$H$9),44,"")</f>
        <v/>
      </c>
      <c r="E229" s="47" t="str">
        <f>IF(AND(Creditos!$C$9&lt;&gt;"",Creditos!$M$9="OK",44&lt;=Creditos!$H$9),EDATE(Creditos!$I$9,43),"")</f>
        <v/>
      </c>
      <c r="F229" s="48" t="str">
        <f>IF(AND(Creditos!$C$9&lt;&gt;"",Creditos!$M$9="OK",44&lt;=Creditos!$H$9),M228,"")</f>
        <v/>
      </c>
      <c r="G229" s="49" t="str">
        <f>IF(AND(Creditos!$C$9&lt;&gt;"",Creditos!$M$9="OK",44&lt;=Creditos!$H$9),Creditos!$N$9,"")</f>
        <v/>
      </c>
      <c r="H229" s="48" t="str">
        <f>IF(AND(Creditos!$C$9&lt;&gt;"",Creditos!$M$9="OK",44&lt;=Creditos!$H$9),ROUND(F229*G229,2),"")</f>
        <v/>
      </c>
      <c r="I229" s="48" t="str">
        <f>IF(AND(Creditos!$C$9&lt;&gt;"",Creditos!$M$9="OK",44&lt;=Creditos!$H$9),IF(44=Creditos!$H$9,F229+H229,MIN(Creditos!$O$9,F229+H229)),"")</f>
        <v/>
      </c>
      <c r="J229" s="48" t="str">
        <f>IF(AND(Creditos!$C$9&lt;&gt;"",Creditos!$M$9="OK",44&lt;=Creditos!$H$9),MIN(F229,MAX(0,I229-H229)),"")</f>
        <v/>
      </c>
      <c r="K229" s="48" t="str">
        <f>IF(AND(Creditos!$C$9&lt;&gt;"",Creditos!$M$9="OK",44&lt;=Creditos!$H$9),Creditos!$J$9+Creditos!$K$9,"")</f>
        <v/>
      </c>
      <c r="L229" s="48" t="str">
        <f>IF(AND(Creditos!$C$9&lt;&gt;"",Creditos!$M$9="OK",44&lt;=Creditos!$H$9),I229+K229,"")</f>
        <v/>
      </c>
      <c r="M229" s="48" t="str">
        <f>IF(AND(Creditos!$C$9&lt;&gt;"",Creditos!$M$9="OK",44&lt;=Creditos!$H$9),MAX(0,F229-J229),"")</f>
        <v/>
      </c>
      <c r="N229" s="48" t="str">
        <f>IF(AND(Creditos!$C$9&lt;&gt;"",Creditos!$M$9="OK",44&lt;=Creditos!$H$9),SUMIFS(Pagos!$F$6:$F$305,Pagos!$C$6:$C$305,C229,Pagos!$D$6:$D$305,D229,Pagos!$E$6:$E$305,"&lt;="&amp;Supuestos!$D$6,Pagos!$H$6:$H$305,"OK"),"")</f>
        <v/>
      </c>
      <c r="O229" s="48" t="str">
        <f>IF(AND(Creditos!$C$9&lt;&gt;"",Creditos!$M$9="OK",44&lt;=Creditos!$H$9),MIN(J229,MAX(0,N229-K229-H229)),"")</f>
        <v/>
      </c>
      <c r="P229" s="48" t="str">
        <f>IF(AND(Creditos!$C$9&lt;&gt;"",Creditos!$M$9="OK",44&lt;=Creditos!$H$9),MAX(0,L229-N229),"")</f>
        <v/>
      </c>
      <c r="Q229" s="50" t="str">
        <f>IF(AND(Creditos!$C$9&lt;&gt;"",Creditos!$M$9="OK",44&lt;=Creditos!$H$9),IF(AND(E229&lt;Supuestos!$D$6,P229&gt;0.005),Supuestos!$D$6-E229,0),"")</f>
        <v/>
      </c>
      <c r="R229" s="48" t="str">
        <f>IF(AND(Creditos!$C$9&lt;&gt;"",Creditos!$M$9="OK",44&lt;=Creditos!$H$9),MAX(0,N229-L229),"")</f>
        <v/>
      </c>
      <c r="S229" s="46" t="str">
        <f>IF(AND(Creditos!$C$9&lt;&gt;"",Creditos!$M$9="OK",44&lt;=Creditos!$H$9),IF(R229&gt;0.005,"Exceso sin imputar",IF(P229&lt;=0.005,"Pagada",IF(E229&lt;Supuestos!$D$6,"Vencida",IF(E229=Supuestos!$D$6,"Vence hoy","Por vencer")))),"")</f>
        <v/>
      </c>
      <c r="T229" s="46">
        <f>IF(AND(Creditos!$C$9&lt;&gt;"",Creditos!$M$9="OK",44&lt;=Creditos!$H$9),IF(P229&gt;0.005,E229,999999),999999)</f>
        <v>999999</v>
      </c>
    </row>
    <row r="230" ht="25.5" customHeight="1">
      <c r="C230" s="46" t="str">
        <f>IF(AND(Creditos!$C$9&lt;&gt;"",Creditos!$M$9="OK",45&lt;=Creditos!$H$9),Creditos!$C$9,"")</f>
        <v/>
      </c>
      <c r="D230" s="46" t="str">
        <f>IF(AND(Creditos!$C$9&lt;&gt;"",Creditos!$M$9="OK",45&lt;=Creditos!$H$9),45,"")</f>
        <v/>
      </c>
      <c r="E230" s="47" t="str">
        <f>IF(AND(Creditos!$C$9&lt;&gt;"",Creditos!$M$9="OK",45&lt;=Creditos!$H$9),EDATE(Creditos!$I$9,44),"")</f>
        <v/>
      </c>
      <c r="F230" s="48" t="str">
        <f>IF(AND(Creditos!$C$9&lt;&gt;"",Creditos!$M$9="OK",45&lt;=Creditos!$H$9),M229,"")</f>
        <v/>
      </c>
      <c r="G230" s="49" t="str">
        <f>IF(AND(Creditos!$C$9&lt;&gt;"",Creditos!$M$9="OK",45&lt;=Creditos!$H$9),Creditos!$N$9,"")</f>
        <v/>
      </c>
      <c r="H230" s="48" t="str">
        <f>IF(AND(Creditos!$C$9&lt;&gt;"",Creditos!$M$9="OK",45&lt;=Creditos!$H$9),ROUND(F230*G230,2),"")</f>
        <v/>
      </c>
      <c r="I230" s="48" t="str">
        <f>IF(AND(Creditos!$C$9&lt;&gt;"",Creditos!$M$9="OK",45&lt;=Creditos!$H$9),IF(45=Creditos!$H$9,F230+H230,MIN(Creditos!$O$9,F230+H230)),"")</f>
        <v/>
      </c>
      <c r="J230" s="48" t="str">
        <f>IF(AND(Creditos!$C$9&lt;&gt;"",Creditos!$M$9="OK",45&lt;=Creditos!$H$9),MIN(F230,MAX(0,I230-H230)),"")</f>
        <v/>
      </c>
      <c r="K230" s="48" t="str">
        <f>IF(AND(Creditos!$C$9&lt;&gt;"",Creditos!$M$9="OK",45&lt;=Creditos!$H$9),Creditos!$J$9+Creditos!$K$9,"")</f>
        <v/>
      </c>
      <c r="L230" s="48" t="str">
        <f>IF(AND(Creditos!$C$9&lt;&gt;"",Creditos!$M$9="OK",45&lt;=Creditos!$H$9),I230+K230,"")</f>
        <v/>
      </c>
      <c r="M230" s="48" t="str">
        <f>IF(AND(Creditos!$C$9&lt;&gt;"",Creditos!$M$9="OK",45&lt;=Creditos!$H$9),MAX(0,F230-J230),"")</f>
        <v/>
      </c>
      <c r="N230" s="48" t="str">
        <f>IF(AND(Creditos!$C$9&lt;&gt;"",Creditos!$M$9="OK",45&lt;=Creditos!$H$9),SUMIFS(Pagos!$F$6:$F$305,Pagos!$C$6:$C$305,C230,Pagos!$D$6:$D$305,D230,Pagos!$E$6:$E$305,"&lt;="&amp;Supuestos!$D$6,Pagos!$H$6:$H$305,"OK"),"")</f>
        <v/>
      </c>
      <c r="O230" s="48" t="str">
        <f>IF(AND(Creditos!$C$9&lt;&gt;"",Creditos!$M$9="OK",45&lt;=Creditos!$H$9),MIN(J230,MAX(0,N230-K230-H230)),"")</f>
        <v/>
      </c>
      <c r="P230" s="48" t="str">
        <f>IF(AND(Creditos!$C$9&lt;&gt;"",Creditos!$M$9="OK",45&lt;=Creditos!$H$9),MAX(0,L230-N230),"")</f>
        <v/>
      </c>
      <c r="Q230" s="50" t="str">
        <f>IF(AND(Creditos!$C$9&lt;&gt;"",Creditos!$M$9="OK",45&lt;=Creditos!$H$9),IF(AND(E230&lt;Supuestos!$D$6,P230&gt;0.005),Supuestos!$D$6-E230,0),"")</f>
        <v/>
      </c>
      <c r="R230" s="48" t="str">
        <f>IF(AND(Creditos!$C$9&lt;&gt;"",Creditos!$M$9="OK",45&lt;=Creditos!$H$9),MAX(0,N230-L230),"")</f>
        <v/>
      </c>
      <c r="S230" s="46" t="str">
        <f>IF(AND(Creditos!$C$9&lt;&gt;"",Creditos!$M$9="OK",45&lt;=Creditos!$H$9),IF(R230&gt;0.005,"Exceso sin imputar",IF(P230&lt;=0.005,"Pagada",IF(E230&lt;Supuestos!$D$6,"Vencida",IF(E230=Supuestos!$D$6,"Vence hoy","Por vencer")))),"")</f>
        <v/>
      </c>
      <c r="T230" s="46">
        <f>IF(AND(Creditos!$C$9&lt;&gt;"",Creditos!$M$9="OK",45&lt;=Creditos!$H$9),IF(P230&gt;0.005,E230,999999),999999)</f>
        <v>999999</v>
      </c>
    </row>
    <row r="231" ht="25.5" customHeight="1">
      <c r="C231" s="46" t="str">
        <f>IF(AND(Creditos!$C$9&lt;&gt;"",Creditos!$M$9="OK",46&lt;=Creditos!$H$9),Creditos!$C$9,"")</f>
        <v/>
      </c>
      <c r="D231" s="46" t="str">
        <f>IF(AND(Creditos!$C$9&lt;&gt;"",Creditos!$M$9="OK",46&lt;=Creditos!$H$9),46,"")</f>
        <v/>
      </c>
      <c r="E231" s="47" t="str">
        <f>IF(AND(Creditos!$C$9&lt;&gt;"",Creditos!$M$9="OK",46&lt;=Creditos!$H$9),EDATE(Creditos!$I$9,45),"")</f>
        <v/>
      </c>
      <c r="F231" s="48" t="str">
        <f>IF(AND(Creditos!$C$9&lt;&gt;"",Creditos!$M$9="OK",46&lt;=Creditos!$H$9),M230,"")</f>
        <v/>
      </c>
      <c r="G231" s="49" t="str">
        <f>IF(AND(Creditos!$C$9&lt;&gt;"",Creditos!$M$9="OK",46&lt;=Creditos!$H$9),Creditos!$N$9,"")</f>
        <v/>
      </c>
      <c r="H231" s="48" t="str">
        <f>IF(AND(Creditos!$C$9&lt;&gt;"",Creditos!$M$9="OK",46&lt;=Creditos!$H$9),ROUND(F231*G231,2),"")</f>
        <v/>
      </c>
      <c r="I231" s="48" t="str">
        <f>IF(AND(Creditos!$C$9&lt;&gt;"",Creditos!$M$9="OK",46&lt;=Creditos!$H$9),IF(46=Creditos!$H$9,F231+H231,MIN(Creditos!$O$9,F231+H231)),"")</f>
        <v/>
      </c>
      <c r="J231" s="48" t="str">
        <f>IF(AND(Creditos!$C$9&lt;&gt;"",Creditos!$M$9="OK",46&lt;=Creditos!$H$9),MIN(F231,MAX(0,I231-H231)),"")</f>
        <v/>
      </c>
      <c r="K231" s="48" t="str">
        <f>IF(AND(Creditos!$C$9&lt;&gt;"",Creditos!$M$9="OK",46&lt;=Creditos!$H$9),Creditos!$J$9+Creditos!$K$9,"")</f>
        <v/>
      </c>
      <c r="L231" s="48" t="str">
        <f>IF(AND(Creditos!$C$9&lt;&gt;"",Creditos!$M$9="OK",46&lt;=Creditos!$H$9),I231+K231,"")</f>
        <v/>
      </c>
      <c r="M231" s="48" t="str">
        <f>IF(AND(Creditos!$C$9&lt;&gt;"",Creditos!$M$9="OK",46&lt;=Creditos!$H$9),MAX(0,F231-J231),"")</f>
        <v/>
      </c>
      <c r="N231" s="48" t="str">
        <f>IF(AND(Creditos!$C$9&lt;&gt;"",Creditos!$M$9="OK",46&lt;=Creditos!$H$9),SUMIFS(Pagos!$F$6:$F$305,Pagos!$C$6:$C$305,C231,Pagos!$D$6:$D$305,D231,Pagos!$E$6:$E$305,"&lt;="&amp;Supuestos!$D$6,Pagos!$H$6:$H$305,"OK"),"")</f>
        <v/>
      </c>
      <c r="O231" s="48" t="str">
        <f>IF(AND(Creditos!$C$9&lt;&gt;"",Creditos!$M$9="OK",46&lt;=Creditos!$H$9),MIN(J231,MAX(0,N231-K231-H231)),"")</f>
        <v/>
      </c>
      <c r="P231" s="48" t="str">
        <f>IF(AND(Creditos!$C$9&lt;&gt;"",Creditos!$M$9="OK",46&lt;=Creditos!$H$9),MAX(0,L231-N231),"")</f>
        <v/>
      </c>
      <c r="Q231" s="50" t="str">
        <f>IF(AND(Creditos!$C$9&lt;&gt;"",Creditos!$M$9="OK",46&lt;=Creditos!$H$9),IF(AND(E231&lt;Supuestos!$D$6,P231&gt;0.005),Supuestos!$D$6-E231,0),"")</f>
        <v/>
      </c>
      <c r="R231" s="48" t="str">
        <f>IF(AND(Creditos!$C$9&lt;&gt;"",Creditos!$M$9="OK",46&lt;=Creditos!$H$9),MAX(0,N231-L231),"")</f>
        <v/>
      </c>
      <c r="S231" s="46" t="str">
        <f>IF(AND(Creditos!$C$9&lt;&gt;"",Creditos!$M$9="OK",46&lt;=Creditos!$H$9),IF(R231&gt;0.005,"Exceso sin imputar",IF(P231&lt;=0.005,"Pagada",IF(E231&lt;Supuestos!$D$6,"Vencida",IF(E231=Supuestos!$D$6,"Vence hoy","Por vencer")))),"")</f>
        <v/>
      </c>
      <c r="T231" s="46">
        <f>IF(AND(Creditos!$C$9&lt;&gt;"",Creditos!$M$9="OK",46&lt;=Creditos!$H$9),IF(P231&gt;0.005,E231,999999),999999)</f>
        <v>999999</v>
      </c>
    </row>
    <row r="232" ht="25.5" customHeight="1">
      <c r="C232" s="46" t="str">
        <f>IF(AND(Creditos!$C$9&lt;&gt;"",Creditos!$M$9="OK",47&lt;=Creditos!$H$9),Creditos!$C$9,"")</f>
        <v/>
      </c>
      <c r="D232" s="46" t="str">
        <f>IF(AND(Creditos!$C$9&lt;&gt;"",Creditos!$M$9="OK",47&lt;=Creditos!$H$9),47,"")</f>
        <v/>
      </c>
      <c r="E232" s="47" t="str">
        <f>IF(AND(Creditos!$C$9&lt;&gt;"",Creditos!$M$9="OK",47&lt;=Creditos!$H$9),EDATE(Creditos!$I$9,46),"")</f>
        <v/>
      </c>
      <c r="F232" s="48" t="str">
        <f>IF(AND(Creditos!$C$9&lt;&gt;"",Creditos!$M$9="OK",47&lt;=Creditos!$H$9),M231,"")</f>
        <v/>
      </c>
      <c r="G232" s="49" t="str">
        <f>IF(AND(Creditos!$C$9&lt;&gt;"",Creditos!$M$9="OK",47&lt;=Creditos!$H$9),Creditos!$N$9,"")</f>
        <v/>
      </c>
      <c r="H232" s="48" t="str">
        <f>IF(AND(Creditos!$C$9&lt;&gt;"",Creditos!$M$9="OK",47&lt;=Creditos!$H$9),ROUND(F232*G232,2),"")</f>
        <v/>
      </c>
      <c r="I232" s="48" t="str">
        <f>IF(AND(Creditos!$C$9&lt;&gt;"",Creditos!$M$9="OK",47&lt;=Creditos!$H$9),IF(47=Creditos!$H$9,F232+H232,MIN(Creditos!$O$9,F232+H232)),"")</f>
        <v/>
      </c>
      <c r="J232" s="48" t="str">
        <f>IF(AND(Creditos!$C$9&lt;&gt;"",Creditos!$M$9="OK",47&lt;=Creditos!$H$9),MIN(F232,MAX(0,I232-H232)),"")</f>
        <v/>
      </c>
      <c r="K232" s="48" t="str">
        <f>IF(AND(Creditos!$C$9&lt;&gt;"",Creditos!$M$9="OK",47&lt;=Creditos!$H$9),Creditos!$J$9+Creditos!$K$9,"")</f>
        <v/>
      </c>
      <c r="L232" s="48" t="str">
        <f>IF(AND(Creditos!$C$9&lt;&gt;"",Creditos!$M$9="OK",47&lt;=Creditos!$H$9),I232+K232,"")</f>
        <v/>
      </c>
      <c r="M232" s="48" t="str">
        <f>IF(AND(Creditos!$C$9&lt;&gt;"",Creditos!$M$9="OK",47&lt;=Creditos!$H$9),MAX(0,F232-J232),"")</f>
        <v/>
      </c>
      <c r="N232" s="48" t="str">
        <f>IF(AND(Creditos!$C$9&lt;&gt;"",Creditos!$M$9="OK",47&lt;=Creditos!$H$9),SUMIFS(Pagos!$F$6:$F$305,Pagos!$C$6:$C$305,C232,Pagos!$D$6:$D$305,D232,Pagos!$E$6:$E$305,"&lt;="&amp;Supuestos!$D$6,Pagos!$H$6:$H$305,"OK"),"")</f>
        <v/>
      </c>
      <c r="O232" s="48" t="str">
        <f>IF(AND(Creditos!$C$9&lt;&gt;"",Creditos!$M$9="OK",47&lt;=Creditos!$H$9),MIN(J232,MAX(0,N232-K232-H232)),"")</f>
        <v/>
      </c>
      <c r="P232" s="48" t="str">
        <f>IF(AND(Creditos!$C$9&lt;&gt;"",Creditos!$M$9="OK",47&lt;=Creditos!$H$9),MAX(0,L232-N232),"")</f>
        <v/>
      </c>
      <c r="Q232" s="50" t="str">
        <f>IF(AND(Creditos!$C$9&lt;&gt;"",Creditos!$M$9="OK",47&lt;=Creditos!$H$9),IF(AND(E232&lt;Supuestos!$D$6,P232&gt;0.005),Supuestos!$D$6-E232,0),"")</f>
        <v/>
      </c>
      <c r="R232" s="48" t="str">
        <f>IF(AND(Creditos!$C$9&lt;&gt;"",Creditos!$M$9="OK",47&lt;=Creditos!$H$9),MAX(0,N232-L232),"")</f>
        <v/>
      </c>
      <c r="S232" s="46" t="str">
        <f>IF(AND(Creditos!$C$9&lt;&gt;"",Creditos!$M$9="OK",47&lt;=Creditos!$H$9),IF(R232&gt;0.005,"Exceso sin imputar",IF(P232&lt;=0.005,"Pagada",IF(E232&lt;Supuestos!$D$6,"Vencida",IF(E232=Supuestos!$D$6,"Vence hoy","Por vencer")))),"")</f>
        <v/>
      </c>
      <c r="T232" s="46">
        <f>IF(AND(Creditos!$C$9&lt;&gt;"",Creditos!$M$9="OK",47&lt;=Creditos!$H$9),IF(P232&gt;0.005,E232,999999),999999)</f>
        <v>999999</v>
      </c>
    </row>
    <row r="233" ht="25.5" customHeight="1">
      <c r="C233" s="46" t="str">
        <f>IF(AND(Creditos!$C$9&lt;&gt;"",Creditos!$M$9="OK",48&lt;=Creditos!$H$9),Creditos!$C$9,"")</f>
        <v/>
      </c>
      <c r="D233" s="46" t="str">
        <f>IF(AND(Creditos!$C$9&lt;&gt;"",Creditos!$M$9="OK",48&lt;=Creditos!$H$9),48,"")</f>
        <v/>
      </c>
      <c r="E233" s="47" t="str">
        <f>IF(AND(Creditos!$C$9&lt;&gt;"",Creditos!$M$9="OK",48&lt;=Creditos!$H$9),EDATE(Creditos!$I$9,47),"")</f>
        <v/>
      </c>
      <c r="F233" s="48" t="str">
        <f>IF(AND(Creditos!$C$9&lt;&gt;"",Creditos!$M$9="OK",48&lt;=Creditos!$H$9),M232,"")</f>
        <v/>
      </c>
      <c r="G233" s="49" t="str">
        <f>IF(AND(Creditos!$C$9&lt;&gt;"",Creditos!$M$9="OK",48&lt;=Creditos!$H$9),Creditos!$N$9,"")</f>
        <v/>
      </c>
      <c r="H233" s="48" t="str">
        <f>IF(AND(Creditos!$C$9&lt;&gt;"",Creditos!$M$9="OK",48&lt;=Creditos!$H$9),ROUND(F233*G233,2),"")</f>
        <v/>
      </c>
      <c r="I233" s="48" t="str">
        <f>IF(AND(Creditos!$C$9&lt;&gt;"",Creditos!$M$9="OK",48&lt;=Creditos!$H$9),IF(48=Creditos!$H$9,F233+H233,MIN(Creditos!$O$9,F233+H233)),"")</f>
        <v/>
      </c>
      <c r="J233" s="48" t="str">
        <f>IF(AND(Creditos!$C$9&lt;&gt;"",Creditos!$M$9="OK",48&lt;=Creditos!$H$9),MIN(F233,MAX(0,I233-H233)),"")</f>
        <v/>
      </c>
      <c r="K233" s="48" t="str">
        <f>IF(AND(Creditos!$C$9&lt;&gt;"",Creditos!$M$9="OK",48&lt;=Creditos!$H$9),Creditos!$J$9+Creditos!$K$9,"")</f>
        <v/>
      </c>
      <c r="L233" s="48" t="str">
        <f>IF(AND(Creditos!$C$9&lt;&gt;"",Creditos!$M$9="OK",48&lt;=Creditos!$H$9),I233+K233,"")</f>
        <v/>
      </c>
      <c r="M233" s="48" t="str">
        <f>IF(AND(Creditos!$C$9&lt;&gt;"",Creditos!$M$9="OK",48&lt;=Creditos!$H$9),MAX(0,F233-J233),"")</f>
        <v/>
      </c>
      <c r="N233" s="48" t="str">
        <f>IF(AND(Creditos!$C$9&lt;&gt;"",Creditos!$M$9="OK",48&lt;=Creditos!$H$9),SUMIFS(Pagos!$F$6:$F$305,Pagos!$C$6:$C$305,C233,Pagos!$D$6:$D$305,D233,Pagos!$E$6:$E$305,"&lt;="&amp;Supuestos!$D$6,Pagos!$H$6:$H$305,"OK"),"")</f>
        <v/>
      </c>
      <c r="O233" s="48" t="str">
        <f>IF(AND(Creditos!$C$9&lt;&gt;"",Creditos!$M$9="OK",48&lt;=Creditos!$H$9),MIN(J233,MAX(0,N233-K233-H233)),"")</f>
        <v/>
      </c>
      <c r="P233" s="48" t="str">
        <f>IF(AND(Creditos!$C$9&lt;&gt;"",Creditos!$M$9="OK",48&lt;=Creditos!$H$9),MAX(0,L233-N233),"")</f>
        <v/>
      </c>
      <c r="Q233" s="50" t="str">
        <f>IF(AND(Creditos!$C$9&lt;&gt;"",Creditos!$M$9="OK",48&lt;=Creditos!$H$9),IF(AND(E233&lt;Supuestos!$D$6,P233&gt;0.005),Supuestos!$D$6-E233,0),"")</f>
        <v/>
      </c>
      <c r="R233" s="48" t="str">
        <f>IF(AND(Creditos!$C$9&lt;&gt;"",Creditos!$M$9="OK",48&lt;=Creditos!$H$9),MAX(0,N233-L233),"")</f>
        <v/>
      </c>
      <c r="S233" s="46" t="str">
        <f>IF(AND(Creditos!$C$9&lt;&gt;"",Creditos!$M$9="OK",48&lt;=Creditos!$H$9),IF(R233&gt;0.005,"Exceso sin imputar",IF(P233&lt;=0.005,"Pagada",IF(E233&lt;Supuestos!$D$6,"Vencida",IF(E233=Supuestos!$D$6,"Vence hoy","Por vencer")))),"")</f>
        <v/>
      </c>
      <c r="T233" s="46">
        <f>IF(AND(Creditos!$C$9&lt;&gt;"",Creditos!$M$9="OK",48&lt;=Creditos!$H$9),IF(P233&gt;0.005,E233,999999),999999)</f>
        <v>999999</v>
      </c>
    </row>
    <row r="234" ht="25.5" customHeight="1">
      <c r="C234" s="46" t="str">
        <f>IF(AND(Creditos!$C$9&lt;&gt;"",Creditos!$M$9="OK",49&lt;=Creditos!$H$9),Creditos!$C$9,"")</f>
        <v/>
      </c>
      <c r="D234" s="46" t="str">
        <f>IF(AND(Creditos!$C$9&lt;&gt;"",Creditos!$M$9="OK",49&lt;=Creditos!$H$9),49,"")</f>
        <v/>
      </c>
      <c r="E234" s="47" t="str">
        <f>IF(AND(Creditos!$C$9&lt;&gt;"",Creditos!$M$9="OK",49&lt;=Creditos!$H$9),EDATE(Creditos!$I$9,48),"")</f>
        <v/>
      </c>
      <c r="F234" s="48" t="str">
        <f>IF(AND(Creditos!$C$9&lt;&gt;"",Creditos!$M$9="OK",49&lt;=Creditos!$H$9),M233,"")</f>
        <v/>
      </c>
      <c r="G234" s="49" t="str">
        <f>IF(AND(Creditos!$C$9&lt;&gt;"",Creditos!$M$9="OK",49&lt;=Creditos!$H$9),Creditos!$N$9,"")</f>
        <v/>
      </c>
      <c r="H234" s="48" t="str">
        <f>IF(AND(Creditos!$C$9&lt;&gt;"",Creditos!$M$9="OK",49&lt;=Creditos!$H$9),ROUND(F234*G234,2),"")</f>
        <v/>
      </c>
      <c r="I234" s="48" t="str">
        <f>IF(AND(Creditos!$C$9&lt;&gt;"",Creditos!$M$9="OK",49&lt;=Creditos!$H$9),IF(49=Creditos!$H$9,F234+H234,MIN(Creditos!$O$9,F234+H234)),"")</f>
        <v/>
      </c>
      <c r="J234" s="48" t="str">
        <f>IF(AND(Creditos!$C$9&lt;&gt;"",Creditos!$M$9="OK",49&lt;=Creditos!$H$9),MIN(F234,MAX(0,I234-H234)),"")</f>
        <v/>
      </c>
      <c r="K234" s="48" t="str">
        <f>IF(AND(Creditos!$C$9&lt;&gt;"",Creditos!$M$9="OK",49&lt;=Creditos!$H$9),Creditos!$J$9+Creditos!$K$9,"")</f>
        <v/>
      </c>
      <c r="L234" s="48" t="str">
        <f>IF(AND(Creditos!$C$9&lt;&gt;"",Creditos!$M$9="OK",49&lt;=Creditos!$H$9),I234+K234,"")</f>
        <v/>
      </c>
      <c r="M234" s="48" t="str">
        <f>IF(AND(Creditos!$C$9&lt;&gt;"",Creditos!$M$9="OK",49&lt;=Creditos!$H$9),MAX(0,F234-J234),"")</f>
        <v/>
      </c>
      <c r="N234" s="48" t="str">
        <f>IF(AND(Creditos!$C$9&lt;&gt;"",Creditos!$M$9="OK",49&lt;=Creditos!$H$9),SUMIFS(Pagos!$F$6:$F$305,Pagos!$C$6:$C$305,C234,Pagos!$D$6:$D$305,D234,Pagos!$E$6:$E$305,"&lt;="&amp;Supuestos!$D$6,Pagos!$H$6:$H$305,"OK"),"")</f>
        <v/>
      </c>
      <c r="O234" s="48" t="str">
        <f>IF(AND(Creditos!$C$9&lt;&gt;"",Creditos!$M$9="OK",49&lt;=Creditos!$H$9),MIN(J234,MAX(0,N234-K234-H234)),"")</f>
        <v/>
      </c>
      <c r="P234" s="48" t="str">
        <f>IF(AND(Creditos!$C$9&lt;&gt;"",Creditos!$M$9="OK",49&lt;=Creditos!$H$9),MAX(0,L234-N234),"")</f>
        <v/>
      </c>
      <c r="Q234" s="50" t="str">
        <f>IF(AND(Creditos!$C$9&lt;&gt;"",Creditos!$M$9="OK",49&lt;=Creditos!$H$9),IF(AND(E234&lt;Supuestos!$D$6,P234&gt;0.005),Supuestos!$D$6-E234,0),"")</f>
        <v/>
      </c>
      <c r="R234" s="48" t="str">
        <f>IF(AND(Creditos!$C$9&lt;&gt;"",Creditos!$M$9="OK",49&lt;=Creditos!$H$9),MAX(0,N234-L234),"")</f>
        <v/>
      </c>
      <c r="S234" s="46" t="str">
        <f>IF(AND(Creditos!$C$9&lt;&gt;"",Creditos!$M$9="OK",49&lt;=Creditos!$H$9),IF(R234&gt;0.005,"Exceso sin imputar",IF(P234&lt;=0.005,"Pagada",IF(E234&lt;Supuestos!$D$6,"Vencida",IF(E234=Supuestos!$D$6,"Vence hoy","Por vencer")))),"")</f>
        <v/>
      </c>
      <c r="T234" s="46">
        <f>IF(AND(Creditos!$C$9&lt;&gt;"",Creditos!$M$9="OK",49&lt;=Creditos!$H$9),IF(P234&gt;0.005,E234,999999),999999)</f>
        <v>999999</v>
      </c>
    </row>
    <row r="235" ht="25.5" customHeight="1">
      <c r="C235" s="46" t="str">
        <f>IF(AND(Creditos!$C$9&lt;&gt;"",Creditos!$M$9="OK",50&lt;=Creditos!$H$9),Creditos!$C$9,"")</f>
        <v/>
      </c>
      <c r="D235" s="46" t="str">
        <f>IF(AND(Creditos!$C$9&lt;&gt;"",Creditos!$M$9="OK",50&lt;=Creditos!$H$9),50,"")</f>
        <v/>
      </c>
      <c r="E235" s="47" t="str">
        <f>IF(AND(Creditos!$C$9&lt;&gt;"",Creditos!$M$9="OK",50&lt;=Creditos!$H$9),EDATE(Creditos!$I$9,49),"")</f>
        <v/>
      </c>
      <c r="F235" s="48" t="str">
        <f>IF(AND(Creditos!$C$9&lt;&gt;"",Creditos!$M$9="OK",50&lt;=Creditos!$H$9),M234,"")</f>
        <v/>
      </c>
      <c r="G235" s="49" t="str">
        <f>IF(AND(Creditos!$C$9&lt;&gt;"",Creditos!$M$9="OK",50&lt;=Creditos!$H$9),Creditos!$N$9,"")</f>
        <v/>
      </c>
      <c r="H235" s="48" t="str">
        <f>IF(AND(Creditos!$C$9&lt;&gt;"",Creditos!$M$9="OK",50&lt;=Creditos!$H$9),ROUND(F235*G235,2),"")</f>
        <v/>
      </c>
      <c r="I235" s="48" t="str">
        <f>IF(AND(Creditos!$C$9&lt;&gt;"",Creditos!$M$9="OK",50&lt;=Creditos!$H$9),IF(50=Creditos!$H$9,F235+H235,MIN(Creditos!$O$9,F235+H235)),"")</f>
        <v/>
      </c>
      <c r="J235" s="48" t="str">
        <f>IF(AND(Creditos!$C$9&lt;&gt;"",Creditos!$M$9="OK",50&lt;=Creditos!$H$9),MIN(F235,MAX(0,I235-H235)),"")</f>
        <v/>
      </c>
      <c r="K235" s="48" t="str">
        <f>IF(AND(Creditos!$C$9&lt;&gt;"",Creditos!$M$9="OK",50&lt;=Creditos!$H$9),Creditos!$J$9+Creditos!$K$9,"")</f>
        <v/>
      </c>
      <c r="L235" s="48" t="str">
        <f>IF(AND(Creditos!$C$9&lt;&gt;"",Creditos!$M$9="OK",50&lt;=Creditos!$H$9),I235+K235,"")</f>
        <v/>
      </c>
      <c r="M235" s="48" t="str">
        <f>IF(AND(Creditos!$C$9&lt;&gt;"",Creditos!$M$9="OK",50&lt;=Creditos!$H$9),MAX(0,F235-J235),"")</f>
        <v/>
      </c>
      <c r="N235" s="48" t="str">
        <f>IF(AND(Creditos!$C$9&lt;&gt;"",Creditos!$M$9="OK",50&lt;=Creditos!$H$9),SUMIFS(Pagos!$F$6:$F$305,Pagos!$C$6:$C$305,C235,Pagos!$D$6:$D$305,D235,Pagos!$E$6:$E$305,"&lt;="&amp;Supuestos!$D$6,Pagos!$H$6:$H$305,"OK"),"")</f>
        <v/>
      </c>
      <c r="O235" s="48" t="str">
        <f>IF(AND(Creditos!$C$9&lt;&gt;"",Creditos!$M$9="OK",50&lt;=Creditos!$H$9),MIN(J235,MAX(0,N235-K235-H235)),"")</f>
        <v/>
      </c>
      <c r="P235" s="48" t="str">
        <f>IF(AND(Creditos!$C$9&lt;&gt;"",Creditos!$M$9="OK",50&lt;=Creditos!$H$9),MAX(0,L235-N235),"")</f>
        <v/>
      </c>
      <c r="Q235" s="50" t="str">
        <f>IF(AND(Creditos!$C$9&lt;&gt;"",Creditos!$M$9="OK",50&lt;=Creditos!$H$9),IF(AND(E235&lt;Supuestos!$D$6,P235&gt;0.005),Supuestos!$D$6-E235,0),"")</f>
        <v/>
      </c>
      <c r="R235" s="48" t="str">
        <f>IF(AND(Creditos!$C$9&lt;&gt;"",Creditos!$M$9="OK",50&lt;=Creditos!$H$9),MAX(0,N235-L235),"")</f>
        <v/>
      </c>
      <c r="S235" s="46" t="str">
        <f>IF(AND(Creditos!$C$9&lt;&gt;"",Creditos!$M$9="OK",50&lt;=Creditos!$H$9),IF(R235&gt;0.005,"Exceso sin imputar",IF(P235&lt;=0.005,"Pagada",IF(E235&lt;Supuestos!$D$6,"Vencida",IF(E235=Supuestos!$D$6,"Vence hoy","Por vencer")))),"")</f>
        <v/>
      </c>
      <c r="T235" s="46">
        <f>IF(AND(Creditos!$C$9&lt;&gt;"",Creditos!$M$9="OK",50&lt;=Creditos!$H$9),IF(P235&gt;0.005,E235,999999),999999)</f>
        <v>999999</v>
      </c>
    </row>
    <row r="236" ht="25.5" customHeight="1">
      <c r="C236" s="46" t="str">
        <f>IF(AND(Creditos!$C$9&lt;&gt;"",Creditos!$M$9="OK",51&lt;=Creditos!$H$9),Creditos!$C$9,"")</f>
        <v/>
      </c>
      <c r="D236" s="46" t="str">
        <f>IF(AND(Creditos!$C$9&lt;&gt;"",Creditos!$M$9="OK",51&lt;=Creditos!$H$9),51,"")</f>
        <v/>
      </c>
      <c r="E236" s="47" t="str">
        <f>IF(AND(Creditos!$C$9&lt;&gt;"",Creditos!$M$9="OK",51&lt;=Creditos!$H$9),EDATE(Creditos!$I$9,50),"")</f>
        <v/>
      </c>
      <c r="F236" s="48" t="str">
        <f>IF(AND(Creditos!$C$9&lt;&gt;"",Creditos!$M$9="OK",51&lt;=Creditos!$H$9),M235,"")</f>
        <v/>
      </c>
      <c r="G236" s="49" t="str">
        <f>IF(AND(Creditos!$C$9&lt;&gt;"",Creditos!$M$9="OK",51&lt;=Creditos!$H$9),Creditos!$N$9,"")</f>
        <v/>
      </c>
      <c r="H236" s="48" t="str">
        <f>IF(AND(Creditos!$C$9&lt;&gt;"",Creditos!$M$9="OK",51&lt;=Creditos!$H$9),ROUND(F236*G236,2),"")</f>
        <v/>
      </c>
      <c r="I236" s="48" t="str">
        <f>IF(AND(Creditos!$C$9&lt;&gt;"",Creditos!$M$9="OK",51&lt;=Creditos!$H$9),IF(51=Creditos!$H$9,F236+H236,MIN(Creditos!$O$9,F236+H236)),"")</f>
        <v/>
      </c>
      <c r="J236" s="48" t="str">
        <f>IF(AND(Creditos!$C$9&lt;&gt;"",Creditos!$M$9="OK",51&lt;=Creditos!$H$9),MIN(F236,MAX(0,I236-H236)),"")</f>
        <v/>
      </c>
      <c r="K236" s="48" t="str">
        <f>IF(AND(Creditos!$C$9&lt;&gt;"",Creditos!$M$9="OK",51&lt;=Creditos!$H$9),Creditos!$J$9+Creditos!$K$9,"")</f>
        <v/>
      </c>
      <c r="L236" s="48" t="str">
        <f>IF(AND(Creditos!$C$9&lt;&gt;"",Creditos!$M$9="OK",51&lt;=Creditos!$H$9),I236+K236,"")</f>
        <v/>
      </c>
      <c r="M236" s="48" t="str">
        <f>IF(AND(Creditos!$C$9&lt;&gt;"",Creditos!$M$9="OK",51&lt;=Creditos!$H$9),MAX(0,F236-J236),"")</f>
        <v/>
      </c>
      <c r="N236" s="48" t="str">
        <f>IF(AND(Creditos!$C$9&lt;&gt;"",Creditos!$M$9="OK",51&lt;=Creditos!$H$9),SUMIFS(Pagos!$F$6:$F$305,Pagos!$C$6:$C$305,C236,Pagos!$D$6:$D$305,D236,Pagos!$E$6:$E$305,"&lt;="&amp;Supuestos!$D$6,Pagos!$H$6:$H$305,"OK"),"")</f>
        <v/>
      </c>
      <c r="O236" s="48" t="str">
        <f>IF(AND(Creditos!$C$9&lt;&gt;"",Creditos!$M$9="OK",51&lt;=Creditos!$H$9),MIN(J236,MAX(0,N236-K236-H236)),"")</f>
        <v/>
      </c>
      <c r="P236" s="48" t="str">
        <f>IF(AND(Creditos!$C$9&lt;&gt;"",Creditos!$M$9="OK",51&lt;=Creditos!$H$9),MAX(0,L236-N236),"")</f>
        <v/>
      </c>
      <c r="Q236" s="50" t="str">
        <f>IF(AND(Creditos!$C$9&lt;&gt;"",Creditos!$M$9="OK",51&lt;=Creditos!$H$9),IF(AND(E236&lt;Supuestos!$D$6,P236&gt;0.005),Supuestos!$D$6-E236,0),"")</f>
        <v/>
      </c>
      <c r="R236" s="48" t="str">
        <f>IF(AND(Creditos!$C$9&lt;&gt;"",Creditos!$M$9="OK",51&lt;=Creditos!$H$9),MAX(0,N236-L236),"")</f>
        <v/>
      </c>
      <c r="S236" s="46" t="str">
        <f>IF(AND(Creditos!$C$9&lt;&gt;"",Creditos!$M$9="OK",51&lt;=Creditos!$H$9),IF(R236&gt;0.005,"Exceso sin imputar",IF(P236&lt;=0.005,"Pagada",IF(E236&lt;Supuestos!$D$6,"Vencida",IF(E236=Supuestos!$D$6,"Vence hoy","Por vencer")))),"")</f>
        <v/>
      </c>
      <c r="T236" s="46">
        <f>IF(AND(Creditos!$C$9&lt;&gt;"",Creditos!$M$9="OK",51&lt;=Creditos!$H$9),IF(P236&gt;0.005,E236,999999),999999)</f>
        <v>999999</v>
      </c>
    </row>
    <row r="237" ht="25.5" customHeight="1">
      <c r="C237" s="46" t="str">
        <f>IF(AND(Creditos!$C$9&lt;&gt;"",Creditos!$M$9="OK",52&lt;=Creditos!$H$9),Creditos!$C$9,"")</f>
        <v/>
      </c>
      <c r="D237" s="46" t="str">
        <f>IF(AND(Creditos!$C$9&lt;&gt;"",Creditos!$M$9="OK",52&lt;=Creditos!$H$9),52,"")</f>
        <v/>
      </c>
      <c r="E237" s="47" t="str">
        <f>IF(AND(Creditos!$C$9&lt;&gt;"",Creditos!$M$9="OK",52&lt;=Creditos!$H$9),EDATE(Creditos!$I$9,51),"")</f>
        <v/>
      </c>
      <c r="F237" s="48" t="str">
        <f>IF(AND(Creditos!$C$9&lt;&gt;"",Creditos!$M$9="OK",52&lt;=Creditos!$H$9),M236,"")</f>
        <v/>
      </c>
      <c r="G237" s="49" t="str">
        <f>IF(AND(Creditos!$C$9&lt;&gt;"",Creditos!$M$9="OK",52&lt;=Creditos!$H$9),Creditos!$N$9,"")</f>
        <v/>
      </c>
      <c r="H237" s="48" t="str">
        <f>IF(AND(Creditos!$C$9&lt;&gt;"",Creditos!$M$9="OK",52&lt;=Creditos!$H$9),ROUND(F237*G237,2),"")</f>
        <v/>
      </c>
      <c r="I237" s="48" t="str">
        <f>IF(AND(Creditos!$C$9&lt;&gt;"",Creditos!$M$9="OK",52&lt;=Creditos!$H$9),IF(52=Creditos!$H$9,F237+H237,MIN(Creditos!$O$9,F237+H237)),"")</f>
        <v/>
      </c>
      <c r="J237" s="48" t="str">
        <f>IF(AND(Creditos!$C$9&lt;&gt;"",Creditos!$M$9="OK",52&lt;=Creditos!$H$9),MIN(F237,MAX(0,I237-H237)),"")</f>
        <v/>
      </c>
      <c r="K237" s="48" t="str">
        <f>IF(AND(Creditos!$C$9&lt;&gt;"",Creditos!$M$9="OK",52&lt;=Creditos!$H$9),Creditos!$J$9+Creditos!$K$9,"")</f>
        <v/>
      </c>
      <c r="L237" s="48" t="str">
        <f>IF(AND(Creditos!$C$9&lt;&gt;"",Creditos!$M$9="OK",52&lt;=Creditos!$H$9),I237+K237,"")</f>
        <v/>
      </c>
      <c r="M237" s="48" t="str">
        <f>IF(AND(Creditos!$C$9&lt;&gt;"",Creditos!$M$9="OK",52&lt;=Creditos!$H$9),MAX(0,F237-J237),"")</f>
        <v/>
      </c>
      <c r="N237" s="48" t="str">
        <f>IF(AND(Creditos!$C$9&lt;&gt;"",Creditos!$M$9="OK",52&lt;=Creditos!$H$9),SUMIFS(Pagos!$F$6:$F$305,Pagos!$C$6:$C$305,C237,Pagos!$D$6:$D$305,D237,Pagos!$E$6:$E$305,"&lt;="&amp;Supuestos!$D$6,Pagos!$H$6:$H$305,"OK"),"")</f>
        <v/>
      </c>
      <c r="O237" s="48" t="str">
        <f>IF(AND(Creditos!$C$9&lt;&gt;"",Creditos!$M$9="OK",52&lt;=Creditos!$H$9),MIN(J237,MAX(0,N237-K237-H237)),"")</f>
        <v/>
      </c>
      <c r="P237" s="48" t="str">
        <f>IF(AND(Creditos!$C$9&lt;&gt;"",Creditos!$M$9="OK",52&lt;=Creditos!$H$9),MAX(0,L237-N237),"")</f>
        <v/>
      </c>
      <c r="Q237" s="50" t="str">
        <f>IF(AND(Creditos!$C$9&lt;&gt;"",Creditos!$M$9="OK",52&lt;=Creditos!$H$9),IF(AND(E237&lt;Supuestos!$D$6,P237&gt;0.005),Supuestos!$D$6-E237,0),"")</f>
        <v/>
      </c>
      <c r="R237" s="48" t="str">
        <f>IF(AND(Creditos!$C$9&lt;&gt;"",Creditos!$M$9="OK",52&lt;=Creditos!$H$9),MAX(0,N237-L237),"")</f>
        <v/>
      </c>
      <c r="S237" s="46" t="str">
        <f>IF(AND(Creditos!$C$9&lt;&gt;"",Creditos!$M$9="OK",52&lt;=Creditos!$H$9),IF(R237&gt;0.005,"Exceso sin imputar",IF(P237&lt;=0.005,"Pagada",IF(E237&lt;Supuestos!$D$6,"Vencida",IF(E237=Supuestos!$D$6,"Vence hoy","Por vencer")))),"")</f>
        <v/>
      </c>
      <c r="T237" s="46">
        <f>IF(AND(Creditos!$C$9&lt;&gt;"",Creditos!$M$9="OK",52&lt;=Creditos!$H$9),IF(P237&gt;0.005,E237,999999),999999)</f>
        <v>999999</v>
      </c>
    </row>
    <row r="238" ht="25.5" customHeight="1">
      <c r="C238" s="46" t="str">
        <f>IF(AND(Creditos!$C$9&lt;&gt;"",Creditos!$M$9="OK",53&lt;=Creditos!$H$9),Creditos!$C$9,"")</f>
        <v/>
      </c>
      <c r="D238" s="46" t="str">
        <f>IF(AND(Creditos!$C$9&lt;&gt;"",Creditos!$M$9="OK",53&lt;=Creditos!$H$9),53,"")</f>
        <v/>
      </c>
      <c r="E238" s="47" t="str">
        <f>IF(AND(Creditos!$C$9&lt;&gt;"",Creditos!$M$9="OK",53&lt;=Creditos!$H$9),EDATE(Creditos!$I$9,52),"")</f>
        <v/>
      </c>
      <c r="F238" s="48" t="str">
        <f>IF(AND(Creditos!$C$9&lt;&gt;"",Creditos!$M$9="OK",53&lt;=Creditos!$H$9),M237,"")</f>
        <v/>
      </c>
      <c r="G238" s="49" t="str">
        <f>IF(AND(Creditos!$C$9&lt;&gt;"",Creditos!$M$9="OK",53&lt;=Creditos!$H$9),Creditos!$N$9,"")</f>
        <v/>
      </c>
      <c r="H238" s="48" t="str">
        <f>IF(AND(Creditos!$C$9&lt;&gt;"",Creditos!$M$9="OK",53&lt;=Creditos!$H$9),ROUND(F238*G238,2),"")</f>
        <v/>
      </c>
      <c r="I238" s="48" t="str">
        <f>IF(AND(Creditos!$C$9&lt;&gt;"",Creditos!$M$9="OK",53&lt;=Creditos!$H$9),IF(53=Creditos!$H$9,F238+H238,MIN(Creditos!$O$9,F238+H238)),"")</f>
        <v/>
      </c>
      <c r="J238" s="48" t="str">
        <f>IF(AND(Creditos!$C$9&lt;&gt;"",Creditos!$M$9="OK",53&lt;=Creditos!$H$9),MIN(F238,MAX(0,I238-H238)),"")</f>
        <v/>
      </c>
      <c r="K238" s="48" t="str">
        <f>IF(AND(Creditos!$C$9&lt;&gt;"",Creditos!$M$9="OK",53&lt;=Creditos!$H$9),Creditos!$J$9+Creditos!$K$9,"")</f>
        <v/>
      </c>
      <c r="L238" s="48" t="str">
        <f>IF(AND(Creditos!$C$9&lt;&gt;"",Creditos!$M$9="OK",53&lt;=Creditos!$H$9),I238+K238,"")</f>
        <v/>
      </c>
      <c r="M238" s="48" t="str">
        <f>IF(AND(Creditos!$C$9&lt;&gt;"",Creditos!$M$9="OK",53&lt;=Creditos!$H$9),MAX(0,F238-J238),"")</f>
        <v/>
      </c>
      <c r="N238" s="48" t="str">
        <f>IF(AND(Creditos!$C$9&lt;&gt;"",Creditos!$M$9="OK",53&lt;=Creditos!$H$9),SUMIFS(Pagos!$F$6:$F$305,Pagos!$C$6:$C$305,C238,Pagos!$D$6:$D$305,D238,Pagos!$E$6:$E$305,"&lt;="&amp;Supuestos!$D$6,Pagos!$H$6:$H$305,"OK"),"")</f>
        <v/>
      </c>
      <c r="O238" s="48" t="str">
        <f>IF(AND(Creditos!$C$9&lt;&gt;"",Creditos!$M$9="OK",53&lt;=Creditos!$H$9),MIN(J238,MAX(0,N238-K238-H238)),"")</f>
        <v/>
      </c>
      <c r="P238" s="48" t="str">
        <f>IF(AND(Creditos!$C$9&lt;&gt;"",Creditos!$M$9="OK",53&lt;=Creditos!$H$9),MAX(0,L238-N238),"")</f>
        <v/>
      </c>
      <c r="Q238" s="50" t="str">
        <f>IF(AND(Creditos!$C$9&lt;&gt;"",Creditos!$M$9="OK",53&lt;=Creditos!$H$9),IF(AND(E238&lt;Supuestos!$D$6,P238&gt;0.005),Supuestos!$D$6-E238,0),"")</f>
        <v/>
      </c>
      <c r="R238" s="48" t="str">
        <f>IF(AND(Creditos!$C$9&lt;&gt;"",Creditos!$M$9="OK",53&lt;=Creditos!$H$9),MAX(0,N238-L238),"")</f>
        <v/>
      </c>
      <c r="S238" s="46" t="str">
        <f>IF(AND(Creditos!$C$9&lt;&gt;"",Creditos!$M$9="OK",53&lt;=Creditos!$H$9),IF(R238&gt;0.005,"Exceso sin imputar",IF(P238&lt;=0.005,"Pagada",IF(E238&lt;Supuestos!$D$6,"Vencida",IF(E238=Supuestos!$D$6,"Vence hoy","Por vencer")))),"")</f>
        <v/>
      </c>
      <c r="T238" s="46">
        <f>IF(AND(Creditos!$C$9&lt;&gt;"",Creditos!$M$9="OK",53&lt;=Creditos!$H$9),IF(P238&gt;0.005,E238,999999),999999)</f>
        <v>999999</v>
      </c>
    </row>
    <row r="239" ht="25.5" customHeight="1">
      <c r="C239" s="46" t="str">
        <f>IF(AND(Creditos!$C$9&lt;&gt;"",Creditos!$M$9="OK",54&lt;=Creditos!$H$9),Creditos!$C$9,"")</f>
        <v/>
      </c>
      <c r="D239" s="46" t="str">
        <f>IF(AND(Creditos!$C$9&lt;&gt;"",Creditos!$M$9="OK",54&lt;=Creditos!$H$9),54,"")</f>
        <v/>
      </c>
      <c r="E239" s="47" t="str">
        <f>IF(AND(Creditos!$C$9&lt;&gt;"",Creditos!$M$9="OK",54&lt;=Creditos!$H$9),EDATE(Creditos!$I$9,53),"")</f>
        <v/>
      </c>
      <c r="F239" s="48" t="str">
        <f>IF(AND(Creditos!$C$9&lt;&gt;"",Creditos!$M$9="OK",54&lt;=Creditos!$H$9),M238,"")</f>
        <v/>
      </c>
      <c r="G239" s="49" t="str">
        <f>IF(AND(Creditos!$C$9&lt;&gt;"",Creditos!$M$9="OK",54&lt;=Creditos!$H$9),Creditos!$N$9,"")</f>
        <v/>
      </c>
      <c r="H239" s="48" t="str">
        <f>IF(AND(Creditos!$C$9&lt;&gt;"",Creditos!$M$9="OK",54&lt;=Creditos!$H$9),ROUND(F239*G239,2),"")</f>
        <v/>
      </c>
      <c r="I239" s="48" t="str">
        <f>IF(AND(Creditos!$C$9&lt;&gt;"",Creditos!$M$9="OK",54&lt;=Creditos!$H$9),IF(54=Creditos!$H$9,F239+H239,MIN(Creditos!$O$9,F239+H239)),"")</f>
        <v/>
      </c>
      <c r="J239" s="48" t="str">
        <f>IF(AND(Creditos!$C$9&lt;&gt;"",Creditos!$M$9="OK",54&lt;=Creditos!$H$9),MIN(F239,MAX(0,I239-H239)),"")</f>
        <v/>
      </c>
      <c r="K239" s="48" t="str">
        <f>IF(AND(Creditos!$C$9&lt;&gt;"",Creditos!$M$9="OK",54&lt;=Creditos!$H$9),Creditos!$J$9+Creditos!$K$9,"")</f>
        <v/>
      </c>
      <c r="L239" s="48" t="str">
        <f>IF(AND(Creditos!$C$9&lt;&gt;"",Creditos!$M$9="OK",54&lt;=Creditos!$H$9),I239+K239,"")</f>
        <v/>
      </c>
      <c r="M239" s="48" t="str">
        <f>IF(AND(Creditos!$C$9&lt;&gt;"",Creditos!$M$9="OK",54&lt;=Creditos!$H$9),MAX(0,F239-J239),"")</f>
        <v/>
      </c>
      <c r="N239" s="48" t="str">
        <f>IF(AND(Creditos!$C$9&lt;&gt;"",Creditos!$M$9="OK",54&lt;=Creditos!$H$9),SUMIFS(Pagos!$F$6:$F$305,Pagos!$C$6:$C$305,C239,Pagos!$D$6:$D$305,D239,Pagos!$E$6:$E$305,"&lt;="&amp;Supuestos!$D$6,Pagos!$H$6:$H$305,"OK"),"")</f>
        <v/>
      </c>
      <c r="O239" s="48" t="str">
        <f>IF(AND(Creditos!$C$9&lt;&gt;"",Creditos!$M$9="OK",54&lt;=Creditos!$H$9),MIN(J239,MAX(0,N239-K239-H239)),"")</f>
        <v/>
      </c>
      <c r="P239" s="48" t="str">
        <f>IF(AND(Creditos!$C$9&lt;&gt;"",Creditos!$M$9="OK",54&lt;=Creditos!$H$9),MAX(0,L239-N239),"")</f>
        <v/>
      </c>
      <c r="Q239" s="50" t="str">
        <f>IF(AND(Creditos!$C$9&lt;&gt;"",Creditos!$M$9="OK",54&lt;=Creditos!$H$9),IF(AND(E239&lt;Supuestos!$D$6,P239&gt;0.005),Supuestos!$D$6-E239,0),"")</f>
        <v/>
      </c>
      <c r="R239" s="48" t="str">
        <f>IF(AND(Creditos!$C$9&lt;&gt;"",Creditos!$M$9="OK",54&lt;=Creditos!$H$9),MAX(0,N239-L239),"")</f>
        <v/>
      </c>
      <c r="S239" s="46" t="str">
        <f>IF(AND(Creditos!$C$9&lt;&gt;"",Creditos!$M$9="OK",54&lt;=Creditos!$H$9),IF(R239&gt;0.005,"Exceso sin imputar",IF(P239&lt;=0.005,"Pagada",IF(E239&lt;Supuestos!$D$6,"Vencida",IF(E239=Supuestos!$D$6,"Vence hoy","Por vencer")))),"")</f>
        <v/>
      </c>
      <c r="T239" s="46">
        <f>IF(AND(Creditos!$C$9&lt;&gt;"",Creditos!$M$9="OK",54&lt;=Creditos!$H$9),IF(P239&gt;0.005,E239,999999),999999)</f>
        <v>999999</v>
      </c>
    </row>
    <row r="240" ht="25.5" customHeight="1">
      <c r="C240" s="46" t="str">
        <f>IF(AND(Creditos!$C$9&lt;&gt;"",Creditos!$M$9="OK",55&lt;=Creditos!$H$9),Creditos!$C$9,"")</f>
        <v/>
      </c>
      <c r="D240" s="46" t="str">
        <f>IF(AND(Creditos!$C$9&lt;&gt;"",Creditos!$M$9="OK",55&lt;=Creditos!$H$9),55,"")</f>
        <v/>
      </c>
      <c r="E240" s="47" t="str">
        <f>IF(AND(Creditos!$C$9&lt;&gt;"",Creditos!$M$9="OK",55&lt;=Creditos!$H$9),EDATE(Creditos!$I$9,54),"")</f>
        <v/>
      </c>
      <c r="F240" s="48" t="str">
        <f>IF(AND(Creditos!$C$9&lt;&gt;"",Creditos!$M$9="OK",55&lt;=Creditos!$H$9),M239,"")</f>
        <v/>
      </c>
      <c r="G240" s="49" t="str">
        <f>IF(AND(Creditos!$C$9&lt;&gt;"",Creditos!$M$9="OK",55&lt;=Creditos!$H$9),Creditos!$N$9,"")</f>
        <v/>
      </c>
      <c r="H240" s="48" t="str">
        <f>IF(AND(Creditos!$C$9&lt;&gt;"",Creditos!$M$9="OK",55&lt;=Creditos!$H$9),ROUND(F240*G240,2),"")</f>
        <v/>
      </c>
      <c r="I240" s="48" t="str">
        <f>IF(AND(Creditos!$C$9&lt;&gt;"",Creditos!$M$9="OK",55&lt;=Creditos!$H$9),IF(55=Creditos!$H$9,F240+H240,MIN(Creditos!$O$9,F240+H240)),"")</f>
        <v/>
      </c>
      <c r="J240" s="48" t="str">
        <f>IF(AND(Creditos!$C$9&lt;&gt;"",Creditos!$M$9="OK",55&lt;=Creditos!$H$9),MIN(F240,MAX(0,I240-H240)),"")</f>
        <v/>
      </c>
      <c r="K240" s="48" t="str">
        <f>IF(AND(Creditos!$C$9&lt;&gt;"",Creditos!$M$9="OK",55&lt;=Creditos!$H$9),Creditos!$J$9+Creditos!$K$9,"")</f>
        <v/>
      </c>
      <c r="L240" s="48" t="str">
        <f>IF(AND(Creditos!$C$9&lt;&gt;"",Creditos!$M$9="OK",55&lt;=Creditos!$H$9),I240+K240,"")</f>
        <v/>
      </c>
      <c r="M240" s="48" t="str">
        <f>IF(AND(Creditos!$C$9&lt;&gt;"",Creditos!$M$9="OK",55&lt;=Creditos!$H$9),MAX(0,F240-J240),"")</f>
        <v/>
      </c>
      <c r="N240" s="48" t="str">
        <f>IF(AND(Creditos!$C$9&lt;&gt;"",Creditos!$M$9="OK",55&lt;=Creditos!$H$9),SUMIFS(Pagos!$F$6:$F$305,Pagos!$C$6:$C$305,C240,Pagos!$D$6:$D$305,D240,Pagos!$E$6:$E$305,"&lt;="&amp;Supuestos!$D$6,Pagos!$H$6:$H$305,"OK"),"")</f>
        <v/>
      </c>
      <c r="O240" s="48" t="str">
        <f>IF(AND(Creditos!$C$9&lt;&gt;"",Creditos!$M$9="OK",55&lt;=Creditos!$H$9),MIN(J240,MAX(0,N240-K240-H240)),"")</f>
        <v/>
      </c>
      <c r="P240" s="48" t="str">
        <f>IF(AND(Creditos!$C$9&lt;&gt;"",Creditos!$M$9="OK",55&lt;=Creditos!$H$9),MAX(0,L240-N240),"")</f>
        <v/>
      </c>
      <c r="Q240" s="50" t="str">
        <f>IF(AND(Creditos!$C$9&lt;&gt;"",Creditos!$M$9="OK",55&lt;=Creditos!$H$9),IF(AND(E240&lt;Supuestos!$D$6,P240&gt;0.005),Supuestos!$D$6-E240,0),"")</f>
        <v/>
      </c>
      <c r="R240" s="48" t="str">
        <f>IF(AND(Creditos!$C$9&lt;&gt;"",Creditos!$M$9="OK",55&lt;=Creditos!$H$9),MAX(0,N240-L240),"")</f>
        <v/>
      </c>
      <c r="S240" s="46" t="str">
        <f>IF(AND(Creditos!$C$9&lt;&gt;"",Creditos!$M$9="OK",55&lt;=Creditos!$H$9),IF(R240&gt;0.005,"Exceso sin imputar",IF(P240&lt;=0.005,"Pagada",IF(E240&lt;Supuestos!$D$6,"Vencida",IF(E240=Supuestos!$D$6,"Vence hoy","Por vencer")))),"")</f>
        <v/>
      </c>
      <c r="T240" s="46">
        <f>IF(AND(Creditos!$C$9&lt;&gt;"",Creditos!$M$9="OK",55&lt;=Creditos!$H$9),IF(P240&gt;0.005,E240,999999),999999)</f>
        <v>999999</v>
      </c>
    </row>
    <row r="241" ht="25.5" customHeight="1">
      <c r="C241" s="46" t="str">
        <f>IF(AND(Creditos!$C$9&lt;&gt;"",Creditos!$M$9="OK",56&lt;=Creditos!$H$9),Creditos!$C$9,"")</f>
        <v/>
      </c>
      <c r="D241" s="46" t="str">
        <f>IF(AND(Creditos!$C$9&lt;&gt;"",Creditos!$M$9="OK",56&lt;=Creditos!$H$9),56,"")</f>
        <v/>
      </c>
      <c r="E241" s="47" t="str">
        <f>IF(AND(Creditos!$C$9&lt;&gt;"",Creditos!$M$9="OK",56&lt;=Creditos!$H$9),EDATE(Creditos!$I$9,55),"")</f>
        <v/>
      </c>
      <c r="F241" s="48" t="str">
        <f>IF(AND(Creditos!$C$9&lt;&gt;"",Creditos!$M$9="OK",56&lt;=Creditos!$H$9),M240,"")</f>
        <v/>
      </c>
      <c r="G241" s="49" t="str">
        <f>IF(AND(Creditos!$C$9&lt;&gt;"",Creditos!$M$9="OK",56&lt;=Creditos!$H$9),Creditos!$N$9,"")</f>
        <v/>
      </c>
      <c r="H241" s="48" t="str">
        <f>IF(AND(Creditos!$C$9&lt;&gt;"",Creditos!$M$9="OK",56&lt;=Creditos!$H$9),ROUND(F241*G241,2),"")</f>
        <v/>
      </c>
      <c r="I241" s="48" t="str">
        <f>IF(AND(Creditos!$C$9&lt;&gt;"",Creditos!$M$9="OK",56&lt;=Creditos!$H$9),IF(56=Creditos!$H$9,F241+H241,MIN(Creditos!$O$9,F241+H241)),"")</f>
        <v/>
      </c>
      <c r="J241" s="48" t="str">
        <f>IF(AND(Creditos!$C$9&lt;&gt;"",Creditos!$M$9="OK",56&lt;=Creditos!$H$9),MIN(F241,MAX(0,I241-H241)),"")</f>
        <v/>
      </c>
      <c r="K241" s="48" t="str">
        <f>IF(AND(Creditos!$C$9&lt;&gt;"",Creditos!$M$9="OK",56&lt;=Creditos!$H$9),Creditos!$J$9+Creditos!$K$9,"")</f>
        <v/>
      </c>
      <c r="L241" s="48" t="str">
        <f>IF(AND(Creditos!$C$9&lt;&gt;"",Creditos!$M$9="OK",56&lt;=Creditos!$H$9),I241+K241,"")</f>
        <v/>
      </c>
      <c r="M241" s="48" t="str">
        <f>IF(AND(Creditos!$C$9&lt;&gt;"",Creditos!$M$9="OK",56&lt;=Creditos!$H$9),MAX(0,F241-J241),"")</f>
        <v/>
      </c>
      <c r="N241" s="48" t="str">
        <f>IF(AND(Creditos!$C$9&lt;&gt;"",Creditos!$M$9="OK",56&lt;=Creditos!$H$9),SUMIFS(Pagos!$F$6:$F$305,Pagos!$C$6:$C$305,C241,Pagos!$D$6:$D$305,D241,Pagos!$E$6:$E$305,"&lt;="&amp;Supuestos!$D$6,Pagos!$H$6:$H$305,"OK"),"")</f>
        <v/>
      </c>
      <c r="O241" s="48" t="str">
        <f>IF(AND(Creditos!$C$9&lt;&gt;"",Creditos!$M$9="OK",56&lt;=Creditos!$H$9),MIN(J241,MAX(0,N241-K241-H241)),"")</f>
        <v/>
      </c>
      <c r="P241" s="48" t="str">
        <f>IF(AND(Creditos!$C$9&lt;&gt;"",Creditos!$M$9="OK",56&lt;=Creditos!$H$9),MAX(0,L241-N241),"")</f>
        <v/>
      </c>
      <c r="Q241" s="50" t="str">
        <f>IF(AND(Creditos!$C$9&lt;&gt;"",Creditos!$M$9="OK",56&lt;=Creditos!$H$9),IF(AND(E241&lt;Supuestos!$D$6,P241&gt;0.005),Supuestos!$D$6-E241,0),"")</f>
        <v/>
      </c>
      <c r="R241" s="48" t="str">
        <f>IF(AND(Creditos!$C$9&lt;&gt;"",Creditos!$M$9="OK",56&lt;=Creditos!$H$9),MAX(0,N241-L241),"")</f>
        <v/>
      </c>
      <c r="S241" s="46" t="str">
        <f>IF(AND(Creditos!$C$9&lt;&gt;"",Creditos!$M$9="OK",56&lt;=Creditos!$H$9),IF(R241&gt;0.005,"Exceso sin imputar",IF(P241&lt;=0.005,"Pagada",IF(E241&lt;Supuestos!$D$6,"Vencida",IF(E241=Supuestos!$D$6,"Vence hoy","Por vencer")))),"")</f>
        <v/>
      </c>
      <c r="T241" s="46">
        <f>IF(AND(Creditos!$C$9&lt;&gt;"",Creditos!$M$9="OK",56&lt;=Creditos!$H$9),IF(P241&gt;0.005,E241,999999),999999)</f>
        <v>999999</v>
      </c>
    </row>
    <row r="242" ht="25.5" customHeight="1">
      <c r="C242" s="46" t="str">
        <f>IF(AND(Creditos!$C$9&lt;&gt;"",Creditos!$M$9="OK",57&lt;=Creditos!$H$9),Creditos!$C$9,"")</f>
        <v/>
      </c>
      <c r="D242" s="46" t="str">
        <f>IF(AND(Creditos!$C$9&lt;&gt;"",Creditos!$M$9="OK",57&lt;=Creditos!$H$9),57,"")</f>
        <v/>
      </c>
      <c r="E242" s="47" t="str">
        <f>IF(AND(Creditos!$C$9&lt;&gt;"",Creditos!$M$9="OK",57&lt;=Creditos!$H$9),EDATE(Creditos!$I$9,56),"")</f>
        <v/>
      </c>
      <c r="F242" s="48" t="str">
        <f>IF(AND(Creditos!$C$9&lt;&gt;"",Creditos!$M$9="OK",57&lt;=Creditos!$H$9),M241,"")</f>
        <v/>
      </c>
      <c r="G242" s="49" t="str">
        <f>IF(AND(Creditos!$C$9&lt;&gt;"",Creditos!$M$9="OK",57&lt;=Creditos!$H$9),Creditos!$N$9,"")</f>
        <v/>
      </c>
      <c r="H242" s="48" t="str">
        <f>IF(AND(Creditos!$C$9&lt;&gt;"",Creditos!$M$9="OK",57&lt;=Creditos!$H$9),ROUND(F242*G242,2),"")</f>
        <v/>
      </c>
      <c r="I242" s="48" t="str">
        <f>IF(AND(Creditos!$C$9&lt;&gt;"",Creditos!$M$9="OK",57&lt;=Creditos!$H$9),IF(57=Creditos!$H$9,F242+H242,MIN(Creditos!$O$9,F242+H242)),"")</f>
        <v/>
      </c>
      <c r="J242" s="48" t="str">
        <f>IF(AND(Creditos!$C$9&lt;&gt;"",Creditos!$M$9="OK",57&lt;=Creditos!$H$9),MIN(F242,MAX(0,I242-H242)),"")</f>
        <v/>
      </c>
      <c r="K242" s="48" t="str">
        <f>IF(AND(Creditos!$C$9&lt;&gt;"",Creditos!$M$9="OK",57&lt;=Creditos!$H$9),Creditos!$J$9+Creditos!$K$9,"")</f>
        <v/>
      </c>
      <c r="L242" s="48" t="str">
        <f>IF(AND(Creditos!$C$9&lt;&gt;"",Creditos!$M$9="OK",57&lt;=Creditos!$H$9),I242+K242,"")</f>
        <v/>
      </c>
      <c r="M242" s="48" t="str">
        <f>IF(AND(Creditos!$C$9&lt;&gt;"",Creditos!$M$9="OK",57&lt;=Creditos!$H$9),MAX(0,F242-J242),"")</f>
        <v/>
      </c>
      <c r="N242" s="48" t="str">
        <f>IF(AND(Creditos!$C$9&lt;&gt;"",Creditos!$M$9="OK",57&lt;=Creditos!$H$9),SUMIFS(Pagos!$F$6:$F$305,Pagos!$C$6:$C$305,C242,Pagos!$D$6:$D$305,D242,Pagos!$E$6:$E$305,"&lt;="&amp;Supuestos!$D$6,Pagos!$H$6:$H$305,"OK"),"")</f>
        <v/>
      </c>
      <c r="O242" s="48" t="str">
        <f>IF(AND(Creditos!$C$9&lt;&gt;"",Creditos!$M$9="OK",57&lt;=Creditos!$H$9),MIN(J242,MAX(0,N242-K242-H242)),"")</f>
        <v/>
      </c>
      <c r="P242" s="48" t="str">
        <f>IF(AND(Creditos!$C$9&lt;&gt;"",Creditos!$M$9="OK",57&lt;=Creditos!$H$9),MAX(0,L242-N242),"")</f>
        <v/>
      </c>
      <c r="Q242" s="50" t="str">
        <f>IF(AND(Creditos!$C$9&lt;&gt;"",Creditos!$M$9="OK",57&lt;=Creditos!$H$9),IF(AND(E242&lt;Supuestos!$D$6,P242&gt;0.005),Supuestos!$D$6-E242,0),"")</f>
        <v/>
      </c>
      <c r="R242" s="48" t="str">
        <f>IF(AND(Creditos!$C$9&lt;&gt;"",Creditos!$M$9="OK",57&lt;=Creditos!$H$9),MAX(0,N242-L242),"")</f>
        <v/>
      </c>
      <c r="S242" s="46" t="str">
        <f>IF(AND(Creditos!$C$9&lt;&gt;"",Creditos!$M$9="OK",57&lt;=Creditos!$H$9),IF(R242&gt;0.005,"Exceso sin imputar",IF(P242&lt;=0.005,"Pagada",IF(E242&lt;Supuestos!$D$6,"Vencida",IF(E242=Supuestos!$D$6,"Vence hoy","Por vencer")))),"")</f>
        <v/>
      </c>
      <c r="T242" s="46">
        <f>IF(AND(Creditos!$C$9&lt;&gt;"",Creditos!$M$9="OK",57&lt;=Creditos!$H$9),IF(P242&gt;0.005,E242,999999),999999)</f>
        <v>999999</v>
      </c>
    </row>
    <row r="243" ht="25.5" customHeight="1">
      <c r="C243" s="46" t="str">
        <f>IF(AND(Creditos!$C$9&lt;&gt;"",Creditos!$M$9="OK",58&lt;=Creditos!$H$9),Creditos!$C$9,"")</f>
        <v/>
      </c>
      <c r="D243" s="46" t="str">
        <f>IF(AND(Creditos!$C$9&lt;&gt;"",Creditos!$M$9="OK",58&lt;=Creditos!$H$9),58,"")</f>
        <v/>
      </c>
      <c r="E243" s="47" t="str">
        <f>IF(AND(Creditos!$C$9&lt;&gt;"",Creditos!$M$9="OK",58&lt;=Creditos!$H$9),EDATE(Creditos!$I$9,57),"")</f>
        <v/>
      </c>
      <c r="F243" s="48" t="str">
        <f>IF(AND(Creditos!$C$9&lt;&gt;"",Creditos!$M$9="OK",58&lt;=Creditos!$H$9),M242,"")</f>
        <v/>
      </c>
      <c r="G243" s="49" t="str">
        <f>IF(AND(Creditos!$C$9&lt;&gt;"",Creditos!$M$9="OK",58&lt;=Creditos!$H$9),Creditos!$N$9,"")</f>
        <v/>
      </c>
      <c r="H243" s="48" t="str">
        <f>IF(AND(Creditos!$C$9&lt;&gt;"",Creditos!$M$9="OK",58&lt;=Creditos!$H$9),ROUND(F243*G243,2),"")</f>
        <v/>
      </c>
      <c r="I243" s="48" t="str">
        <f>IF(AND(Creditos!$C$9&lt;&gt;"",Creditos!$M$9="OK",58&lt;=Creditos!$H$9),IF(58=Creditos!$H$9,F243+H243,MIN(Creditos!$O$9,F243+H243)),"")</f>
        <v/>
      </c>
      <c r="J243" s="48" t="str">
        <f>IF(AND(Creditos!$C$9&lt;&gt;"",Creditos!$M$9="OK",58&lt;=Creditos!$H$9),MIN(F243,MAX(0,I243-H243)),"")</f>
        <v/>
      </c>
      <c r="K243" s="48" t="str">
        <f>IF(AND(Creditos!$C$9&lt;&gt;"",Creditos!$M$9="OK",58&lt;=Creditos!$H$9),Creditos!$J$9+Creditos!$K$9,"")</f>
        <v/>
      </c>
      <c r="L243" s="48" t="str">
        <f>IF(AND(Creditos!$C$9&lt;&gt;"",Creditos!$M$9="OK",58&lt;=Creditos!$H$9),I243+K243,"")</f>
        <v/>
      </c>
      <c r="M243" s="48" t="str">
        <f>IF(AND(Creditos!$C$9&lt;&gt;"",Creditos!$M$9="OK",58&lt;=Creditos!$H$9),MAX(0,F243-J243),"")</f>
        <v/>
      </c>
      <c r="N243" s="48" t="str">
        <f>IF(AND(Creditos!$C$9&lt;&gt;"",Creditos!$M$9="OK",58&lt;=Creditos!$H$9),SUMIFS(Pagos!$F$6:$F$305,Pagos!$C$6:$C$305,C243,Pagos!$D$6:$D$305,D243,Pagos!$E$6:$E$305,"&lt;="&amp;Supuestos!$D$6,Pagos!$H$6:$H$305,"OK"),"")</f>
        <v/>
      </c>
      <c r="O243" s="48" t="str">
        <f>IF(AND(Creditos!$C$9&lt;&gt;"",Creditos!$M$9="OK",58&lt;=Creditos!$H$9),MIN(J243,MAX(0,N243-K243-H243)),"")</f>
        <v/>
      </c>
      <c r="P243" s="48" t="str">
        <f>IF(AND(Creditos!$C$9&lt;&gt;"",Creditos!$M$9="OK",58&lt;=Creditos!$H$9),MAX(0,L243-N243),"")</f>
        <v/>
      </c>
      <c r="Q243" s="50" t="str">
        <f>IF(AND(Creditos!$C$9&lt;&gt;"",Creditos!$M$9="OK",58&lt;=Creditos!$H$9),IF(AND(E243&lt;Supuestos!$D$6,P243&gt;0.005),Supuestos!$D$6-E243,0),"")</f>
        <v/>
      </c>
      <c r="R243" s="48" t="str">
        <f>IF(AND(Creditos!$C$9&lt;&gt;"",Creditos!$M$9="OK",58&lt;=Creditos!$H$9),MAX(0,N243-L243),"")</f>
        <v/>
      </c>
      <c r="S243" s="46" t="str">
        <f>IF(AND(Creditos!$C$9&lt;&gt;"",Creditos!$M$9="OK",58&lt;=Creditos!$H$9),IF(R243&gt;0.005,"Exceso sin imputar",IF(P243&lt;=0.005,"Pagada",IF(E243&lt;Supuestos!$D$6,"Vencida",IF(E243=Supuestos!$D$6,"Vence hoy","Por vencer")))),"")</f>
        <v/>
      </c>
      <c r="T243" s="46">
        <f>IF(AND(Creditos!$C$9&lt;&gt;"",Creditos!$M$9="OK",58&lt;=Creditos!$H$9),IF(P243&gt;0.005,E243,999999),999999)</f>
        <v>999999</v>
      </c>
    </row>
    <row r="244" ht="25.5" customHeight="1">
      <c r="C244" s="46" t="str">
        <f>IF(AND(Creditos!$C$9&lt;&gt;"",Creditos!$M$9="OK",59&lt;=Creditos!$H$9),Creditos!$C$9,"")</f>
        <v/>
      </c>
      <c r="D244" s="46" t="str">
        <f>IF(AND(Creditos!$C$9&lt;&gt;"",Creditos!$M$9="OK",59&lt;=Creditos!$H$9),59,"")</f>
        <v/>
      </c>
      <c r="E244" s="47" t="str">
        <f>IF(AND(Creditos!$C$9&lt;&gt;"",Creditos!$M$9="OK",59&lt;=Creditos!$H$9),EDATE(Creditos!$I$9,58),"")</f>
        <v/>
      </c>
      <c r="F244" s="48" t="str">
        <f>IF(AND(Creditos!$C$9&lt;&gt;"",Creditos!$M$9="OK",59&lt;=Creditos!$H$9),M243,"")</f>
        <v/>
      </c>
      <c r="G244" s="49" t="str">
        <f>IF(AND(Creditos!$C$9&lt;&gt;"",Creditos!$M$9="OK",59&lt;=Creditos!$H$9),Creditos!$N$9,"")</f>
        <v/>
      </c>
      <c r="H244" s="48" t="str">
        <f>IF(AND(Creditos!$C$9&lt;&gt;"",Creditos!$M$9="OK",59&lt;=Creditos!$H$9),ROUND(F244*G244,2),"")</f>
        <v/>
      </c>
      <c r="I244" s="48" t="str">
        <f>IF(AND(Creditos!$C$9&lt;&gt;"",Creditos!$M$9="OK",59&lt;=Creditos!$H$9),IF(59=Creditos!$H$9,F244+H244,MIN(Creditos!$O$9,F244+H244)),"")</f>
        <v/>
      </c>
      <c r="J244" s="48" t="str">
        <f>IF(AND(Creditos!$C$9&lt;&gt;"",Creditos!$M$9="OK",59&lt;=Creditos!$H$9),MIN(F244,MAX(0,I244-H244)),"")</f>
        <v/>
      </c>
      <c r="K244" s="48" t="str">
        <f>IF(AND(Creditos!$C$9&lt;&gt;"",Creditos!$M$9="OK",59&lt;=Creditos!$H$9),Creditos!$J$9+Creditos!$K$9,"")</f>
        <v/>
      </c>
      <c r="L244" s="48" t="str">
        <f>IF(AND(Creditos!$C$9&lt;&gt;"",Creditos!$M$9="OK",59&lt;=Creditos!$H$9),I244+K244,"")</f>
        <v/>
      </c>
      <c r="M244" s="48" t="str">
        <f>IF(AND(Creditos!$C$9&lt;&gt;"",Creditos!$M$9="OK",59&lt;=Creditos!$H$9),MAX(0,F244-J244),"")</f>
        <v/>
      </c>
      <c r="N244" s="48" t="str">
        <f>IF(AND(Creditos!$C$9&lt;&gt;"",Creditos!$M$9="OK",59&lt;=Creditos!$H$9),SUMIFS(Pagos!$F$6:$F$305,Pagos!$C$6:$C$305,C244,Pagos!$D$6:$D$305,D244,Pagos!$E$6:$E$305,"&lt;="&amp;Supuestos!$D$6,Pagos!$H$6:$H$305,"OK"),"")</f>
        <v/>
      </c>
      <c r="O244" s="48" t="str">
        <f>IF(AND(Creditos!$C$9&lt;&gt;"",Creditos!$M$9="OK",59&lt;=Creditos!$H$9),MIN(J244,MAX(0,N244-K244-H244)),"")</f>
        <v/>
      </c>
      <c r="P244" s="48" t="str">
        <f>IF(AND(Creditos!$C$9&lt;&gt;"",Creditos!$M$9="OK",59&lt;=Creditos!$H$9),MAX(0,L244-N244),"")</f>
        <v/>
      </c>
      <c r="Q244" s="50" t="str">
        <f>IF(AND(Creditos!$C$9&lt;&gt;"",Creditos!$M$9="OK",59&lt;=Creditos!$H$9),IF(AND(E244&lt;Supuestos!$D$6,P244&gt;0.005),Supuestos!$D$6-E244,0),"")</f>
        <v/>
      </c>
      <c r="R244" s="48" t="str">
        <f>IF(AND(Creditos!$C$9&lt;&gt;"",Creditos!$M$9="OK",59&lt;=Creditos!$H$9),MAX(0,N244-L244),"")</f>
        <v/>
      </c>
      <c r="S244" s="46" t="str">
        <f>IF(AND(Creditos!$C$9&lt;&gt;"",Creditos!$M$9="OK",59&lt;=Creditos!$H$9),IF(R244&gt;0.005,"Exceso sin imputar",IF(P244&lt;=0.005,"Pagada",IF(E244&lt;Supuestos!$D$6,"Vencida",IF(E244=Supuestos!$D$6,"Vence hoy","Por vencer")))),"")</f>
        <v/>
      </c>
      <c r="T244" s="46">
        <f>IF(AND(Creditos!$C$9&lt;&gt;"",Creditos!$M$9="OK",59&lt;=Creditos!$H$9),IF(P244&gt;0.005,E244,999999),999999)</f>
        <v>999999</v>
      </c>
    </row>
    <row r="245" ht="25.5" customHeight="1">
      <c r="C245" s="46" t="str">
        <f>IF(AND(Creditos!$C$9&lt;&gt;"",Creditos!$M$9="OK",60&lt;=Creditos!$H$9),Creditos!$C$9,"")</f>
        <v/>
      </c>
      <c r="D245" s="46" t="str">
        <f>IF(AND(Creditos!$C$9&lt;&gt;"",Creditos!$M$9="OK",60&lt;=Creditos!$H$9),60,"")</f>
        <v/>
      </c>
      <c r="E245" s="47" t="str">
        <f>IF(AND(Creditos!$C$9&lt;&gt;"",Creditos!$M$9="OK",60&lt;=Creditos!$H$9),EDATE(Creditos!$I$9,59),"")</f>
        <v/>
      </c>
      <c r="F245" s="48" t="str">
        <f>IF(AND(Creditos!$C$9&lt;&gt;"",Creditos!$M$9="OK",60&lt;=Creditos!$H$9),M244,"")</f>
        <v/>
      </c>
      <c r="G245" s="49" t="str">
        <f>IF(AND(Creditos!$C$9&lt;&gt;"",Creditos!$M$9="OK",60&lt;=Creditos!$H$9),Creditos!$N$9,"")</f>
        <v/>
      </c>
      <c r="H245" s="48" t="str">
        <f>IF(AND(Creditos!$C$9&lt;&gt;"",Creditos!$M$9="OK",60&lt;=Creditos!$H$9),ROUND(F245*G245,2),"")</f>
        <v/>
      </c>
      <c r="I245" s="48" t="str">
        <f>IF(AND(Creditos!$C$9&lt;&gt;"",Creditos!$M$9="OK",60&lt;=Creditos!$H$9),IF(60=Creditos!$H$9,F245+H245,MIN(Creditos!$O$9,F245+H245)),"")</f>
        <v/>
      </c>
      <c r="J245" s="48" t="str">
        <f>IF(AND(Creditos!$C$9&lt;&gt;"",Creditos!$M$9="OK",60&lt;=Creditos!$H$9),MIN(F245,MAX(0,I245-H245)),"")</f>
        <v/>
      </c>
      <c r="K245" s="48" t="str">
        <f>IF(AND(Creditos!$C$9&lt;&gt;"",Creditos!$M$9="OK",60&lt;=Creditos!$H$9),Creditos!$J$9+Creditos!$K$9,"")</f>
        <v/>
      </c>
      <c r="L245" s="48" t="str">
        <f>IF(AND(Creditos!$C$9&lt;&gt;"",Creditos!$M$9="OK",60&lt;=Creditos!$H$9),I245+K245,"")</f>
        <v/>
      </c>
      <c r="M245" s="48" t="str">
        <f>IF(AND(Creditos!$C$9&lt;&gt;"",Creditos!$M$9="OK",60&lt;=Creditos!$H$9),MAX(0,F245-J245),"")</f>
        <v/>
      </c>
      <c r="N245" s="48" t="str">
        <f>IF(AND(Creditos!$C$9&lt;&gt;"",Creditos!$M$9="OK",60&lt;=Creditos!$H$9),SUMIFS(Pagos!$F$6:$F$305,Pagos!$C$6:$C$305,C245,Pagos!$D$6:$D$305,D245,Pagos!$E$6:$E$305,"&lt;="&amp;Supuestos!$D$6,Pagos!$H$6:$H$305,"OK"),"")</f>
        <v/>
      </c>
      <c r="O245" s="48" t="str">
        <f>IF(AND(Creditos!$C$9&lt;&gt;"",Creditos!$M$9="OK",60&lt;=Creditos!$H$9),MIN(J245,MAX(0,N245-K245-H245)),"")</f>
        <v/>
      </c>
      <c r="P245" s="48" t="str">
        <f>IF(AND(Creditos!$C$9&lt;&gt;"",Creditos!$M$9="OK",60&lt;=Creditos!$H$9),MAX(0,L245-N245),"")</f>
        <v/>
      </c>
      <c r="Q245" s="50" t="str">
        <f>IF(AND(Creditos!$C$9&lt;&gt;"",Creditos!$M$9="OK",60&lt;=Creditos!$H$9),IF(AND(E245&lt;Supuestos!$D$6,P245&gt;0.005),Supuestos!$D$6-E245,0),"")</f>
        <v/>
      </c>
      <c r="R245" s="48" t="str">
        <f>IF(AND(Creditos!$C$9&lt;&gt;"",Creditos!$M$9="OK",60&lt;=Creditos!$H$9),MAX(0,N245-L245),"")</f>
        <v/>
      </c>
      <c r="S245" s="46" t="str">
        <f>IF(AND(Creditos!$C$9&lt;&gt;"",Creditos!$M$9="OK",60&lt;=Creditos!$H$9),IF(R245&gt;0.005,"Exceso sin imputar",IF(P245&lt;=0.005,"Pagada",IF(E245&lt;Supuestos!$D$6,"Vencida",IF(E245=Supuestos!$D$6,"Vence hoy","Por vencer")))),"")</f>
        <v/>
      </c>
      <c r="T245" s="46">
        <f>IF(AND(Creditos!$C$9&lt;&gt;"",Creditos!$M$9="OK",60&lt;=Creditos!$H$9),IF(P245&gt;0.005,E245,999999),999999)</f>
        <v>999999</v>
      </c>
    </row>
    <row r="246" ht="25.5" customHeight="1">
      <c r="C246" s="46" t="str">
        <f>IF(AND(Creditos!$C$10&lt;&gt;"",Creditos!$M$10="OK",1&lt;=Creditos!$H$10),Creditos!$C$10,"")</f>
        <v/>
      </c>
      <c r="D246" s="46" t="str">
        <f>IF(AND(Creditos!$C$10&lt;&gt;"",Creditos!$M$10="OK",1&lt;=Creditos!$H$10),1,"")</f>
        <v/>
      </c>
      <c r="E246" s="47" t="str">
        <f>IF(AND(Creditos!$C$10&lt;&gt;"",Creditos!$M$10="OK",1&lt;=Creditos!$H$10),EDATE(Creditos!$I$10,0),"")</f>
        <v/>
      </c>
      <c r="F246" s="48" t="str">
        <f>IF(AND(Creditos!$C$10&lt;&gt;"",Creditos!$M$10="OK",1&lt;=Creditos!$H$10),Creditos!$E$10,"")</f>
        <v/>
      </c>
      <c r="G246" s="49" t="str">
        <f>IF(AND(Creditos!$C$10&lt;&gt;"",Creditos!$M$10="OK",1&lt;=Creditos!$H$10),Creditos!$N$10,"")</f>
        <v/>
      </c>
      <c r="H246" s="48" t="str">
        <f>IF(AND(Creditos!$C$10&lt;&gt;"",Creditos!$M$10="OK",1&lt;=Creditos!$H$10),ROUND(F246*G246,2),"")</f>
        <v/>
      </c>
      <c r="I246" s="48" t="str">
        <f>IF(AND(Creditos!$C$10&lt;&gt;"",Creditos!$M$10="OK",1&lt;=Creditos!$H$10),IF(1=Creditos!$H$10,F246+H246,MIN(Creditos!$O$10,F246+H246)),"")</f>
        <v/>
      </c>
      <c r="J246" s="48" t="str">
        <f>IF(AND(Creditos!$C$10&lt;&gt;"",Creditos!$M$10="OK",1&lt;=Creditos!$H$10),MIN(F246,MAX(0,I246-H246)),"")</f>
        <v/>
      </c>
      <c r="K246" s="48" t="str">
        <f>IF(AND(Creditos!$C$10&lt;&gt;"",Creditos!$M$10="OK",1&lt;=Creditos!$H$10),Creditos!$J$10+Creditos!$K$10,"")</f>
        <v/>
      </c>
      <c r="L246" s="48" t="str">
        <f>IF(AND(Creditos!$C$10&lt;&gt;"",Creditos!$M$10="OK",1&lt;=Creditos!$H$10),I246+K246,"")</f>
        <v/>
      </c>
      <c r="M246" s="48" t="str">
        <f>IF(AND(Creditos!$C$10&lt;&gt;"",Creditos!$M$10="OK",1&lt;=Creditos!$H$10),MAX(0,F246-J246),"")</f>
        <v/>
      </c>
      <c r="N246" s="48" t="str">
        <f>IF(AND(Creditos!$C$10&lt;&gt;"",Creditos!$M$10="OK",1&lt;=Creditos!$H$10),SUMIFS(Pagos!$F$6:$F$305,Pagos!$C$6:$C$305,C246,Pagos!$D$6:$D$305,D246,Pagos!$E$6:$E$305,"&lt;="&amp;Supuestos!$D$6,Pagos!$H$6:$H$305,"OK"),"")</f>
        <v/>
      </c>
      <c r="O246" s="48" t="str">
        <f>IF(AND(Creditos!$C$10&lt;&gt;"",Creditos!$M$10="OK",1&lt;=Creditos!$H$10),MIN(J246,MAX(0,N246-K246-H246)),"")</f>
        <v/>
      </c>
      <c r="P246" s="48" t="str">
        <f>IF(AND(Creditos!$C$10&lt;&gt;"",Creditos!$M$10="OK",1&lt;=Creditos!$H$10),MAX(0,L246-N246),"")</f>
        <v/>
      </c>
      <c r="Q246" s="50" t="str">
        <f>IF(AND(Creditos!$C$10&lt;&gt;"",Creditos!$M$10="OK",1&lt;=Creditos!$H$10),IF(AND(E246&lt;Supuestos!$D$6,P246&gt;0.005),Supuestos!$D$6-E246,0),"")</f>
        <v/>
      </c>
      <c r="R246" s="48" t="str">
        <f>IF(AND(Creditos!$C$10&lt;&gt;"",Creditos!$M$10="OK",1&lt;=Creditos!$H$10),MAX(0,N246-L246),"")</f>
        <v/>
      </c>
      <c r="S246" s="46" t="str">
        <f>IF(AND(Creditos!$C$10&lt;&gt;"",Creditos!$M$10="OK",1&lt;=Creditos!$H$10),IF(R246&gt;0.005,"Exceso sin imputar",IF(P246&lt;=0.005,"Pagada",IF(E246&lt;Supuestos!$D$6,"Vencida",IF(E246=Supuestos!$D$6,"Vence hoy","Por vencer")))),"")</f>
        <v/>
      </c>
      <c r="T246" s="46">
        <f>IF(AND(Creditos!$C$10&lt;&gt;"",Creditos!$M$10="OK",1&lt;=Creditos!$H$10),IF(P246&gt;0.005,E246,999999),999999)</f>
        <v>999999</v>
      </c>
    </row>
    <row r="247" ht="25.5" customHeight="1">
      <c r="C247" s="46" t="str">
        <f>IF(AND(Creditos!$C$10&lt;&gt;"",Creditos!$M$10="OK",2&lt;=Creditos!$H$10),Creditos!$C$10,"")</f>
        <v/>
      </c>
      <c r="D247" s="46" t="str">
        <f>IF(AND(Creditos!$C$10&lt;&gt;"",Creditos!$M$10="OK",2&lt;=Creditos!$H$10),2,"")</f>
        <v/>
      </c>
      <c r="E247" s="47" t="str">
        <f>IF(AND(Creditos!$C$10&lt;&gt;"",Creditos!$M$10="OK",2&lt;=Creditos!$H$10),EDATE(Creditos!$I$10,1),"")</f>
        <v/>
      </c>
      <c r="F247" s="48" t="str">
        <f>IF(AND(Creditos!$C$10&lt;&gt;"",Creditos!$M$10="OK",2&lt;=Creditos!$H$10),M246,"")</f>
        <v/>
      </c>
      <c r="G247" s="49" t="str">
        <f>IF(AND(Creditos!$C$10&lt;&gt;"",Creditos!$M$10="OK",2&lt;=Creditos!$H$10),Creditos!$N$10,"")</f>
        <v/>
      </c>
      <c r="H247" s="48" t="str">
        <f>IF(AND(Creditos!$C$10&lt;&gt;"",Creditos!$M$10="OK",2&lt;=Creditos!$H$10),ROUND(F247*G247,2),"")</f>
        <v/>
      </c>
      <c r="I247" s="48" t="str">
        <f>IF(AND(Creditos!$C$10&lt;&gt;"",Creditos!$M$10="OK",2&lt;=Creditos!$H$10),IF(2=Creditos!$H$10,F247+H247,MIN(Creditos!$O$10,F247+H247)),"")</f>
        <v/>
      </c>
      <c r="J247" s="48" t="str">
        <f>IF(AND(Creditos!$C$10&lt;&gt;"",Creditos!$M$10="OK",2&lt;=Creditos!$H$10),MIN(F247,MAX(0,I247-H247)),"")</f>
        <v/>
      </c>
      <c r="K247" s="48" t="str">
        <f>IF(AND(Creditos!$C$10&lt;&gt;"",Creditos!$M$10="OK",2&lt;=Creditos!$H$10),Creditos!$J$10+Creditos!$K$10,"")</f>
        <v/>
      </c>
      <c r="L247" s="48" t="str">
        <f>IF(AND(Creditos!$C$10&lt;&gt;"",Creditos!$M$10="OK",2&lt;=Creditos!$H$10),I247+K247,"")</f>
        <v/>
      </c>
      <c r="M247" s="48" t="str">
        <f>IF(AND(Creditos!$C$10&lt;&gt;"",Creditos!$M$10="OK",2&lt;=Creditos!$H$10),MAX(0,F247-J247),"")</f>
        <v/>
      </c>
      <c r="N247" s="48" t="str">
        <f>IF(AND(Creditos!$C$10&lt;&gt;"",Creditos!$M$10="OK",2&lt;=Creditos!$H$10),SUMIFS(Pagos!$F$6:$F$305,Pagos!$C$6:$C$305,C247,Pagos!$D$6:$D$305,D247,Pagos!$E$6:$E$305,"&lt;="&amp;Supuestos!$D$6,Pagos!$H$6:$H$305,"OK"),"")</f>
        <v/>
      </c>
      <c r="O247" s="48" t="str">
        <f>IF(AND(Creditos!$C$10&lt;&gt;"",Creditos!$M$10="OK",2&lt;=Creditos!$H$10),MIN(J247,MAX(0,N247-K247-H247)),"")</f>
        <v/>
      </c>
      <c r="P247" s="48" t="str">
        <f>IF(AND(Creditos!$C$10&lt;&gt;"",Creditos!$M$10="OK",2&lt;=Creditos!$H$10),MAX(0,L247-N247),"")</f>
        <v/>
      </c>
      <c r="Q247" s="50" t="str">
        <f>IF(AND(Creditos!$C$10&lt;&gt;"",Creditos!$M$10="OK",2&lt;=Creditos!$H$10),IF(AND(E247&lt;Supuestos!$D$6,P247&gt;0.005),Supuestos!$D$6-E247,0),"")</f>
        <v/>
      </c>
      <c r="R247" s="48" t="str">
        <f>IF(AND(Creditos!$C$10&lt;&gt;"",Creditos!$M$10="OK",2&lt;=Creditos!$H$10),MAX(0,N247-L247),"")</f>
        <v/>
      </c>
      <c r="S247" s="46" t="str">
        <f>IF(AND(Creditos!$C$10&lt;&gt;"",Creditos!$M$10="OK",2&lt;=Creditos!$H$10),IF(R247&gt;0.005,"Exceso sin imputar",IF(P247&lt;=0.005,"Pagada",IF(E247&lt;Supuestos!$D$6,"Vencida",IF(E247=Supuestos!$D$6,"Vence hoy","Por vencer")))),"")</f>
        <v/>
      </c>
      <c r="T247" s="46">
        <f>IF(AND(Creditos!$C$10&lt;&gt;"",Creditos!$M$10="OK",2&lt;=Creditos!$H$10),IF(P247&gt;0.005,E247,999999),999999)</f>
        <v>999999</v>
      </c>
    </row>
    <row r="248" ht="25.5" customHeight="1">
      <c r="C248" s="46" t="str">
        <f>IF(AND(Creditos!$C$10&lt;&gt;"",Creditos!$M$10="OK",3&lt;=Creditos!$H$10),Creditos!$C$10,"")</f>
        <v/>
      </c>
      <c r="D248" s="46" t="str">
        <f>IF(AND(Creditos!$C$10&lt;&gt;"",Creditos!$M$10="OK",3&lt;=Creditos!$H$10),3,"")</f>
        <v/>
      </c>
      <c r="E248" s="47" t="str">
        <f>IF(AND(Creditos!$C$10&lt;&gt;"",Creditos!$M$10="OK",3&lt;=Creditos!$H$10),EDATE(Creditos!$I$10,2),"")</f>
        <v/>
      </c>
      <c r="F248" s="48" t="str">
        <f>IF(AND(Creditos!$C$10&lt;&gt;"",Creditos!$M$10="OK",3&lt;=Creditos!$H$10),M247,"")</f>
        <v/>
      </c>
      <c r="G248" s="49" t="str">
        <f>IF(AND(Creditos!$C$10&lt;&gt;"",Creditos!$M$10="OK",3&lt;=Creditos!$H$10),Creditos!$N$10,"")</f>
        <v/>
      </c>
      <c r="H248" s="48" t="str">
        <f>IF(AND(Creditos!$C$10&lt;&gt;"",Creditos!$M$10="OK",3&lt;=Creditos!$H$10),ROUND(F248*G248,2),"")</f>
        <v/>
      </c>
      <c r="I248" s="48" t="str">
        <f>IF(AND(Creditos!$C$10&lt;&gt;"",Creditos!$M$10="OK",3&lt;=Creditos!$H$10),IF(3=Creditos!$H$10,F248+H248,MIN(Creditos!$O$10,F248+H248)),"")</f>
        <v/>
      </c>
      <c r="J248" s="48" t="str">
        <f>IF(AND(Creditos!$C$10&lt;&gt;"",Creditos!$M$10="OK",3&lt;=Creditos!$H$10),MIN(F248,MAX(0,I248-H248)),"")</f>
        <v/>
      </c>
      <c r="K248" s="48" t="str">
        <f>IF(AND(Creditos!$C$10&lt;&gt;"",Creditos!$M$10="OK",3&lt;=Creditos!$H$10),Creditos!$J$10+Creditos!$K$10,"")</f>
        <v/>
      </c>
      <c r="L248" s="48" t="str">
        <f>IF(AND(Creditos!$C$10&lt;&gt;"",Creditos!$M$10="OK",3&lt;=Creditos!$H$10),I248+K248,"")</f>
        <v/>
      </c>
      <c r="M248" s="48" t="str">
        <f>IF(AND(Creditos!$C$10&lt;&gt;"",Creditos!$M$10="OK",3&lt;=Creditos!$H$10),MAX(0,F248-J248),"")</f>
        <v/>
      </c>
      <c r="N248" s="48" t="str">
        <f>IF(AND(Creditos!$C$10&lt;&gt;"",Creditos!$M$10="OK",3&lt;=Creditos!$H$10),SUMIFS(Pagos!$F$6:$F$305,Pagos!$C$6:$C$305,C248,Pagos!$D$6:$D$305,D248,Pagos!$E$6:$E$305,"&lt;="&amp;Supuestos!$D$6,Pagos!$H$6:$H$305,"OK"),"")</f>
        <v/>
      </c>
      <c r="O248" s="48" t="str">
        <f>IF(AND(Creditos!$C$10&lt;&gt;"",Creditos!$M$10="OK",3&lt;=Creditos!$H$10),MIN(J248,MAX(0,N248-K248-H248)),"")</f>
        <v/>
      </c>
      <c r="P248" s="48" t="str">
        <f>IF(AND(Creditos!$C$10&lt;&gt;"",Creditos!$M$10="OK",3&lt;=Creditos!$H$10),MAX(0,L248-N248),"")</f>
        <v/>
      </c>
      <c r="Q248" s="50" t="str">
        <f>IF(AND(Creditos!$C$10&lt;&gt;"",Creditos!$M$10="OK",3&lt;=Creditos!$H$10),IF(AND(E248&lt;Supuestos!$D$6,P248&gt;0.005),Supuestos!$D$6-E248,0),"")</f>
        <v/>
      </c>
      <c r="R248" s="48" t="str">
        <f>IF(AND(Creditos!$C$10&lt;&gt;"",Creditos!$M$10="OK",3&lt;=Creditos!$H$10),MAX(0,N248-L248),"")</f>
        <v/>
      </c>
      <c r="S248" s="46" t="str">
        <f>IF(AND(Creditos!$C$10&lt;&gt;"",Creditos!$M$10="OK",3&lt;=Creditos!$H$10),IF(R248&gt;0.005,"Exceso sin imputar",IF(P248&lt;=0.005,"Pagada",IF(E248&lt;Supuestos!$D$6,"Vencida",IF(E248=Supuestos!$D$6,"Vence hoy","Por vencer")))),"")</f>
        <v/>
      </c>
      <c r="T248" s="46">
        <f>IF(AND(Creditos!$C$10&lt;&gt;"",Creditos!$M$10="OK",3&lt;=Creditos!$H$10),IF(P248&gt;0.005,E248,999999),999999)</f>
        <v>999999</v>
      </c>
    </row>
    <row r="249" ht="25.5" customHeight="1">
      <c r="C249" s="46" t="str">
        <f>IF(AND(Creditos!$C$10&lt;&gt;"",Creditos!$M$10="OK",4&lt;=Creditos!$H$10),Creditos!$C$10,"")</f>
        <v/>
      </c>
      <c r="D249" s="46" t="str">
        <f>IF(AND(Creditos!$C$10&lt;&gt;"",Creditos!$M$10="OK",4&lt;=Creditos!$H$10),4,"")</f>
        <v/>
      </c>
      <c r="E249" s="47" t="str">
        <f>IF(AND(Creditos!$C$10&lt;&gt;"",Creditos!$M$10="OK",4&lt;=Creditos!$H$10),EDATE(Creditos!$I$10,3),"")</f>
        <v/>
      </c>
      <c r="F249" s="48" t="str">
        <f>IF(AND(Creditos!$C$10&lt;&gt;"",Creditos!$M$10="OK",4&lt;=Creditos!$H$10),M248,"")</f>
        <v/>
      </c>
      <c r="G249" s="49" t="str">
        <f>IF(AND(Creditos!$C$10&lt;&gt;"",Creditos!$M$10="OK",4&lt;=Creditos!$H$10),Creditos!$N$10,"")</f>
        <v/>
      </c>
      <c r="H249" s="48" t="str">
        <f>IF(AND(Creditos!$C$10&lt;&gt;"",Creditos!$M$10="OK",4&lt;=Creditos!$H$10),ROUND(F249*G249,2),"")</f>
        <v/>
      </c>
      <c r="I249" s="48" t="str">
        <f>IF(AND(Creditos!$C$10&lt;&gt;"",Creditos!$M$10="OK",4&lt;=Creditos!$H$10),IF(4=Creditos!$H$10,F249+H249,MIN(Creditos!$O$10,F249+H249)),"")</f>
        <v/>
      </c>
      <c r="J249" s="48" t="str">
        <f>IF(AND(Creditos!$C$10&lt;&gt;"",Creditos!$M$10="OK",4&lt;=Creditos!$H$10),MIN(F249,MAX(0,I249-H249)),"")</f>
        <v/>
      </c>
      <c r="K249" s="48" t="str">
        <f>IF(AND(Creditos!$C$10&lt;&gt;"",Creditos!$M$10="OK",4&lt;=Creditos!$H$10),Creditos!$J$10+Creditos!$K$10,"")</f>
        <v/>
      </c>
      <c r="L249" s="48" t="str">
        <f>IF(AND(Creditos!$C$10&lt;&gt;"",Creditos!$M$10="OK",4&lt;=Creditos!$H$10),I249+K249,"")</f>
        <v/>
      </c>
      <c r="M249" s="48" t="str">
        <f>IF(AND(Creditos!$C$10&lt;&gt;"",Creditos!$M$10="OK",4&lt;=Creditos!$H$10),MAX(0,F249-J249),"")</f>
        <v/>
      </c>
      <c r="N249" s="48" t="str">
        <f>IF(AND(Creditos!$C$10&lt;&gt;"",Creditos!$M$10="OK",4&lt;=Creditos!$H$10),SUMIFS(Pagos!$F$6:$F$305,Pagos!$C$6:$C$305,C249,Pagos!$D$6:$D$305,D249,Pagos!$E$6:$E$305,"&lt;="&amp;Supuestos!$D$6,Pagos!$H$6:$H$305,"OK"),"")</f>
        <v/>
      </c>
      <c r="O249" s="48" t="str">
        <f>IF(AND(Creditos!$C$10&lt;&gt;"",Creditos!$M$10="OK",4&lt;=Creditos!$H$10),MIN(J249,MAX(0,N249-K249-H249)),"")</f>
        <v/>
      </c>
      <c r="P249" s="48" t="str">
        <f>IF(AND(Creditos!$C$10&lt;&gt;"",Creditos!$M$10="OK",4&lt;=Creditos!$H$10),MAX(0,L249-N249),"")</f>
        <v/>
      </c>
      <c r="Q249" s="50" t="str">
        <f>IF(AND(Creditos!$C$10&lt;&gt;"",Creditos!$M$10="OK",4&lt;=Creditos!$H$10),IF(AND(E249&lt;Supuestos!$D$6,P249&gt;0.005),Supuestos!$D$6-E249,0),"")</f>
        <v/>
      </c>
      <c r="R249" s="48" t="str">
        <f>IF(AND(Creditos!$C$10&lt;&gt;"",Creditos!$M$10="OK",4&lt;=Creditos!$H$10),MAX(0,N249-L249),"")</f>
        <v/>
      </c>
      <c r="S249" s="46" t="str">
        <f>IF(AND(Creditos!$C$10&lt;&gt;"",Creditos!$M$10="OK",4&lt;=Creditos!$H$10),IF(R249&gt;0.005,"Exceso sin imputar",IF(P249&lt;=0.005,"Pagada",IF(E249&lt;Supuestos!$D$6,"Vencida",IF(E249=Supuestos!$D$6,"Vence hoy","Por vencer")))),"")</f>
        <v/>
      </c>
      <c r="T249" s="46">
        <f>IF(AND(Creditos!$C$10&lt;&gt;"",Creditos!$M$10="OK",4&lt;=Creditos!$H$10),IF(P249&gt;0.005,E249,999999),999999)</f>
        <v>999999</v>
      </c>
    </row>
    <row r="250" ht="25.5" customHeight="1">
      <c r="C250" s="46" t="str">
        <f>IF(AND(Creditos!$C$10&lt;&gt;"",Creditos!$M$10="OK",5&lt;=Creditos!$H$10),Creditos!$C$10,"")</f>
        <v/>
      </c>
      <c r="D250" s="46" t="str">
        <f>IF(AND(Creditos!$C$10&lt;&gt;"",Creditos!$M$10="OK",5&lt;=Creditos!$H$10),5,"")</f>
        <v/>
      </c>
      <c r="E250" s="47" t="str">
        <f>IF(AND(Creditos!$C$10&lt;&gt;"",Creditos!$M$10="OK",5&lt;=Creditos!$H$10),EDATE(Creditos!$I$10,4),"")</f>
        <v/>
      </c>
      <c r="F250" s="48" t="str">
        <f>IF(AND(Creditos!$C$10&lt;&gt;"",Creditos!$M$10="OK",5&lt;=Creditos!$H$10),M249,"")</f>
        <v/>
      </c>
      <c r="G250" s="49" t="str">
        <f>IF(AND(Creditos!$C$10&lt;&gt;"",Creditos!$M$10="OK",5&lt;=Creditos!$H$10),Creditos!$N$10,"")</f>
        <v/>
      </c>
      <c r="H250" s="48" t="str">
        <f>IF(AND(Creditos!$C$10&lt;&gt;"",Creditos!$M$10="OK",5&lt;=Creditos!$H$10),ROUND(F250*G250,2),"")</f>
        <v/>
      </c>
      <c r="I250" s="48" t="str">
        <f>IF(AND(Creditos!$C$10&lt;&gt;"",Creditos!$M$10="OK",5&lt;=Creditos!$H$10),IF(5=Creditos!$H$10,F250+H250,MIN(Creditos!$O$10,F250+H250)),"")</f>
        <v/>
      </c>
      <c r="J250" s="48" t="str">
        <f>IF(AND(Creditos!$C$10&lt;&gt;"",Creditos!$M$10="OK",5&lt;=Creditos!$H$10),MIN(F250,MAX(0,I250-H250)),"")</f>
        <v/>
      </c>
      <c r="K250" s="48" t="str">
        <f>IF(AND(Creditos!$C$10&lt;&gt;"",Creditos!$M$10="OK",5&lt;=Creditos!$H$10),Creditos!$J$10+Creditos!$K$10,"")</f>
        <v/>
      </c>
      <c r="L250" s="48" t="str">
        <f>IF(AND(Creditos!$C$10&lt;&gt;"",Creditos!$M$10="OK",5&lt;=Creditos!$H$10),I250+K250,"")</f>
        <v/>
      </c>
      <c r="M250" s="48" t="str">
        <f>IF(AND(Creditos!$C$10&lt;&gt;"",Creditos!$M$10="OK",5&lt;=Creditos!$H$10),MAX(0,F250-J250),"")</f>
        <v/>
      </c>
      <c r="N250" s="48" t="str">
        <f>IF(AND(Creditos!$C$10&lt;&gt;"",Creditos!$M$10="OK",5&lt;=Creditos!$H$10),SUMIFS(Pagos!$F$6:$F$305,Pagos!$C$6:$C$305,C250,Pagos!$D$6:$D$305,D250,Pagos!$E$6:$E$305,"&lt;="&amp;Supuestos!$D$6,Pagos!$H$6:$H$305,"OK"),"")</f>
        <v/>
      </c>
      <c r="O250" s="48" t="str">
        <f>IF(AND(Creditos!$C$10&lt;&gt;"",Creditos!$M$10="OK",5&lt;=Creditos!$H$10),MIN(J250,MAX(0,N250-K250-H250)),"")</f>
        <v/>
      </c>
      <c r="P250" s="48" t="str">
        <f>IF(AND(Creditos!$C$10&lt;&gt;"",Creditos!$M$10="OK",5&lt;=Creditos!$H$10),MAX(0,L250-N250),"")</f>
        <v/>
      </c>
      <c r="Q250" s="50" t="str">
        <f>IF(AND(Creditos!$C$10&lt;&gt;"",Creditos!$M$10="OK",5&lt;=Creditos!$H$10),IF(AND(E250&lt;Supuestos!$D$6,P250&gt;0.005),Supuestos!$D$6-E250,0),"")</f>
        <v/>
      </c>
      <c r="R250" s="48" t="str">
        <f>IF(AND(Creditos!$C$10&lt;&gt;"",Creditos!$M$10="OK",5&lt;=Creditos!$H$10),MAX(0,N250-L250),"")</f>
        <v/>
      </c>
      <c r="S250" s="46" t="str">
        <f>IF(AND(Creditos!$C$10&lt;&gt;"",Creditos!$M$10="OK",5&lt;=Creditos!$H$10),IF(R250&gt;0.005,"Exceso sin imputar",IF(P250&lt;=0.005,"Pagada",IF(E250&lt;Supuestos!$D$6,"Vencida",IF(E250=Supuestos!$D$6,"Vence hoy","Por vencer")))),"")</f>
        <v/>
      </c>
      <c r="T250" s="46">
        <f>IF(AND(Creditos!$C$10&lt;&gt;"",Creditos!$M$10="OK",5&lt;=Creditos!$H$10),IF(P250&gt;0.005,E250,999999),999999)</f>
        <v>999999</v>
      </c>
    </row>
    <row r="251" ht="25.5" customHeight="1">
      <c r="C251" s="46" t="str">
        <f>IF(AND(Creditos!$C$10&lt;&gt;"",Creditos!$M$10="OK",6&lt;=Creditos!$H$10),Creditos!$C$10,"")</f>
        <v/>
      </c>
      <c r="D251" s="46" t="str">
        <f>IF(AND(Creditos!$C$10&lt;&gt;"",Creditos!$M$10="OK",6&lt;=Creditos!$H$10),6,"")</f>
        <v/>
      </c>
      <c r="E251" s="47" t="str">
        <f>IF(AND(Creditos!$C$10&lt;&gt;"",Creditos!$M$10="OK",6&lt;=Creditos!$H$10),EDATE(Creditos!$I$10,5),"")</f>
        <v/>
      </c>
      <c r="F251" s="48" t="str">
        <f>IF(AND(Creditos!$C$10&lt;&gt;"",Creditos!$M$10="OK",6&lt;=Creditos!$H$10),M250,"")</f>
        <v/>
      </c>
      <c r="G251" s="49" t="str">
        <f>IF(AND(Creditos!$C$10&lt;&gt;"",Creditos!$M$10="OK",6&lt;=Creditos!$H$10),Creditos!$N$10,"")</f>
        <v/>
      </c>
      <c r="H251" s="48" t="str">
        <f>IF(AND(Creditos!$C$10&lt;&gt;"",Creditos!$M$10="OK",6&lt;=Creditos!$H$10),ROUND(F251*G251,2),"")</f>
        <v/>
      </c>
      <c r="I251" s="48" t="str">
        <f>IF(AND(Creditos!$C$10&lt;&gt;"",Creditos!$M$10="OK",6&lt;=Creditos!$H$10),IF(6=Creditos!$H$10,F251+H251,MIN(Creditos!$O$10,F251+H251)),"")</f>
        <v/>
      </c>
      <c r="J251" s="48" t="str">
        <f>IF(AND(Creditos!$C$10&lt;&gt;"",Creditos!$M$10="OK",6&lt;=Creditos!$H$10),MIN(F251,MAX(0,I251-H251)),"")</f>
        <v/>
      </c>
      <c r="K251" s="48" t="str">
        <f>IF(AND(Creditos!$C$10&lt;&gt;"",Creditos!$M$10="OK",6&lt;=Creditos!$H$10),Creditos!$J$10+Creditos!$K$10,"")</f>
        <v/>
      </c>
      <c r="L251" s="48" t="str">
        <f>IF(AND(Creditos!$C$10&lt;&gt;"",Creditos!$M$10="OK",6&lt;=Creditos!$H$10),I251+K251,"")</f>
        <v/>
      </c>
      <c r="M251" s="48" t="str">
        <f>IF(AND(Creditos!$C$10&lt;&gt;"",Creditos!$M$10="OK",6&lt;=Creditos!$H$10),MAX(0,F251-J251),"")</f>
        <v/>
      </c>
      <c r="N251" s="48" t="str">
        <f>IF(AND(Creditos!$C$10&lt;&gt;"",Creditos!$M$10="OK",6&lt;=Creditos!$H$10),SUMIFS(Pagos!$F$6:$F$305,Pagos!$C$6:$C$305,C251,Pagos!$D$6:$D$305,D251,Pagos!$E$6:$E$305,"&lt;="&amp;Supuestos!$D$6,Pagos!$H$6:$H$305,"OK"),"")</f>
        <v/>
      </c>
      <c r="O251" s="48" t="str">
        <f>IF(AND(Creditos!$C$10&lt;&gt;"",Creditos!$M$10="OK",6&lt;=Creditos!$H$10),MIN(J251,MAX(0,N251-K251-H251)),"")</f>
        <v/>
      </c>
      <c r="P251" s="48" t="str">
        <f>IF(AND(Creditos!$C$10&lt;&gt;"",Creditos!$M$10="OK",6&lt;=Creditos!$H$10),MAX(0,L251-N251),"")</f>
        <v/>
      </c>
      <c r="Q251" s="50" t="str">
        <f>IF(AND(Creditos!$C$10&lt;&gt;"",Creditos!$M$10="OK",6&lt;=Creditos!$H$10),IF(AND(E251&lt;Supuestos!$D$6,P251&gt;0.005),Supuestos!$D$6-E251,0),"")</f>
        <v/>
      </c>
      <c r="R251" s="48" t="str">
        <f>IF(AND(Creditos!$C$10&lt;&gt;"",Creditos!$M$10="OK",6&lt;=Creditos!$H$10),MAX(0,N251-L251),"")</f>
        <v/>
      </c>
      <c r="S251" s="46" t="str">
        <f>IF(AND(Creditos!$C$10&lt;&gt;"",Creditos!$M$10="OK",6&lt;=Creditos!$H$10),IF(R251&gt;0.005,"Exceso sin imputar",IF(P251&lt;=0.005,"Pagada",IF(E251&lt;Supuestos!$D$6,"Vencida",IF(E251=Supuestos!$D$6,"Vence hoy","Por vencer")))),"")</f>
        <v/>
      </c>
      <c r="T251" s="46">
        <f>IF(AND(Creditos!$C$10&lt;&gt;"",Creditos!$M$10="OK",6&lt;=Creditos!$H$10),IF(P251&gt;0.005,E251,999999),999999)</f>
        <v>999999</v>
      </c>
    </row>
    <row r="252" ht="25.5" customHeight="1">
      <c r="C252" s="46" t="str">
        <f>IF(AND(Creditos!$C$10&lt;&gt;"",Creditos!$M$10="OK",7&lt;=Creditos!$H$10),Creditos!$C$10,"")</f>
        <v/>
      </c>
      <c r="D252" s="46" t="str">
        <f>IF(AND(Creditos!$C$10&lt;&gt;"",Creditos!$M$10="OK",7&lt;=Creditos!$H$10),7,"")</f>
        <v/>
      </c>
      <c r="E252" s="47" t="str">
        <f>IF(AND(Creditos!$C$10&lt;&gt;"",Creditos!$M$10="OK",7&lt;=Creditos!$H$10),EDATE(Creditos!$I$10,6),"")</f>
        <v/>
      </c>
      <c r="F252" s="48" t="str">
        <f>IF(AND(Creditos!$C$10&lt;&gt;"",Creditos!$M$10="OK",7&lt;=Creditos!$H$10),M251,"")</f>
        <v/>
      </c>
      <c r="G252" s="49" t="str">
        <f>IF(AND(Creditos!$C$10&lt;&gt;"",Creditos!$M$10="OK",7&lt;=Creditos!$H$10),Creditos!$N$10,"")</f>
        <v/>
      </c>
      <c r="H252" s="48" t="str">
        <f>IF(AND(Creditos!$C$10&lt;&gt;"",Creditos!$M$10="OK",7&lt;=Creditos!$H$10),ROUND(F252*G252,2),"")</f>
        <v/>
      </c>
      <c r="I252" s="48" t="str">
        <f>IF(AND(Creditos!$C$10&lt;&gt;"",Creditos!$M$10="OK",7&lt;=Creditos!$H$10),IF(7=Creditos!$H$10,F252+H252,MIN(Creditos!$O$10,F252+H252)),"")</f>
        <v/>
      </c>
      <c r="J252" s="48" t="str">
        <f>IF(AND(Creditos!$C$10&lt;&gt;"",Creditos!$M$10="OK",7&lt;=Creditos!$H$10),MIN(F252,MAX(0,I252-H252)),"")</f>
        <v/>
      </c>
      <c r="K252" s="48" t="str">
        <f>IF(AND(Creditos!$C$10&lt;&gt;"",Creditos!$M$10="OK",7&lt;=Creditos!$H$10),Creditos!$J$10+Creditos!$K$10,"")</f>
        <v/>
      </c>
      <c r="L252" s="48" t="str">
        <f>IF(AND(Creditos!$C$10&lt;&gt;"",Creditos!$M$10="OK",7&lt;=Creditos!$H$10),I252+K252,"")</f>
        <v/>
      </c>
      <c r="M252" s="48" t="str">
        <f>IF(AND(Creditos!$C$10&lt;&gt;"",Creditos!$M$10="OK",7&lt;=Creditos!$H$10),MAX(0,F252-J252),"")</f>
        <v/>
      </c>
      <c r="N252" s="48" t="str">
        <f>IF(AND(Creditos!$C$10&lt;&gt;"",Creditos!$M$10="OK",7&lt;=Creditos!$H$10),SUMIFS(Pagos!$F$6:$F$305,Pagos!$C$6:$C$305,C252,Pagos!$D$6:$D$305,D252,Pagos!$E$6:$E$305,"&lt;="&amp;Supuestos!$D$6,Pagos!$H$6:$H$305,"OK"),"")</f>
        <v/>
      </c>
      <c r="O252" s="48" t="str">
        <f>IF(AND(Creditos!$C$10&lt;&gt;"",Creditos!$M$10="OK",7&lt;=Creditos!$H$10),MIN(J252,MAX(0,N252-K252-H252)),"")</f>
        <v/>
      </c>
      <c r="P252" s="48" t="str">
        <f>IF(AND(Creditos!$C$10&lt;&gt;"",Creditos!$M$10="OK",7&lt;=Creditos!$H$10),MAX(0,L252-N252),"")</f>
        <v/>
      </c>
      <c r="Q252" s="50" t="str">
        <f>IF(AND(Creditos!$C$10&lt;&gt;"",Creditos!$M$10="OK",7&lt;=Creditos!$H$10),IF(AND(E252&lt;Supuestos!$D$6,P252&gt;0.005),Supuestos!$D$6-E252,0),"")</f>
        <v/>
      </c>
      <c r="R252" s="48" t="str">
        <f>IF(AND(Creditos!$C$10&lt;&gt;"",Creditos!$M$10="OK",7&lt;=Creditos!$H$10),MAX(0,N252-L252),"")</f>
        <v/>
      </c>
      <c r="S252" s="46" t="str">
        <f>IF(AND(Creditos!$C$10&lt;&gt;"",Creditos!$M$10="OK",7&lt;=Creditos!$H$10),IF(R252&gt;0.005,"Exceso sin imputar",IF(P252&lt;=0.005,"Pagada",IF(E252&lt;Supuestos!$D$6,"Vencida",IF(E252=Supuestos!$D$6,"Vence hoy","Por vencer")))),"")</f>
        <v/>
      </c>
      <c r="T252" s="46">
        <f>IF(AND(Creditos!$C$10&lt;&gt;"",Creditos!$M$10="OK",7&lt;=Creditos!$H$10),IF(P252&gt;0.005,E252,999999),999999)</f>
        <v>999999</v>
      </c>
    </row>
    <row r="253" ht="25.5" customHeight="1">
      <c r="C253" s="46" t="str">
        <f>IF(AND(Creditos!$C$10&lt;&gt;"",Creditos!$M$10="OK",8&lt;=Creditos!$H$10),Creditos!$C$10,"")</f>
        <v/>
      </c>
      <c r="D253" s="46" t="str">
        <f>IF(AND(Creditos!$C$10&lt;&gt;"",Creditos!$M$10="OK",8&lt;=Creditos!$H$10),8,"")</f>
        <v/>
      </c>
      <c r="E253" s="47" t="str">
        <f>IF(AND(Creditos!$C$10&lt;&gt;"",Creditos!$M$10="OK",8&lt;=Creditos!$H$10),EDATE(Creditos!$I$10,7),"")</f>
        <v/>
      </c>
      <c r="F253" s="48" t="str">
        <f>IF(AND(Creditos!$C$10&lt;&gt;"",Creditos!$M$10="OK",8&lt;=Creditos!$H$10),M252,"")</f>
        <v/>
      </c>
      <c r="G253" s="49" t="str">
        <f>IF(AND(Creditos!$C$10&lt;&gt;"",Creditos!$M$10="OK",8&lt;=Creditos!$H$10),Creditos!$N$10,"")</f>
        <v/>
      </c>
      <c r="H253" s="48" t="str">
        <f>IF(AND(Creditos!$C$10&lt;&gt;"",Creditos!$M$10="OK",8&lt;=Creditos!$H$10),ROUND(F253*G253,2),"")</f>
        <v/>
      </c>
      <c r="I253" s="48" t="str">
        <f>IF(AND(Creditos!$C$10&lt;&gt;"",Creditos!$M$10="OK",8&lt;=Creditos!$H$10),IF(8=Creditos!$H$10,F253+H253,MIN(Creditos!$O$10,F253+H253)),"")</f>
        <v/>
      </c>
      <c r="J253" s="48" t="str">
        <f>IF(AND(Creditos!$C$10&lt;&gt;"",Creditos!$M$10="OK",8&lt;=Creditos!$H$10),MIN(F253,MAX(0,I253-H253)),"")</f>
        <v/>
      </c>
      <c r="K253" s="48" t="str">
        <f>IF(AND(Creditos!$C$10&lt;&gt;"",Creditos!$M$10="OK",8&lt;=Creditos!$H$10),Creditos!$J$10+Creditos!$K$10,"")</f>
        <v/>
      </c>
      <c r="L253" s="48" t="str">
        <f>IF(AND(Creditos!$C$10&lt;&gt;"",Creditos!$M$10="OK",8&lt;=Creditos!$H$10),I253+K253,"")</f>
        <v/>
      </c>
      <c r="M253" s="48" t="str">
        <f>IF(AND(Creditos!$C$10&lt;&gt;"",Creditos!$M$10="OK",8&lt;=Creditos!$H$10),MAX(0,F253-J253),"")</f>
        <v/>
      </c>
      <c r="N253" s="48" t="str">
        <f>IF(AND(Creditos!$C$10&lt;&gt;"",Creditos!$M$10="OK",8&lt;=Creditos!$H$10),SUMIFS(Pagos!$F$6:$F$305,Pagos!$C$6:$C$305,C253,Pagos!$D$6:$D$305,D253,Pagos!$E$6:$E$305,"&lt;="&amp;Supuestos!$D$6,Pagos!$H$6:$H$305,"OK"),"")</f>
        <v/>
      </c>
      <c r="O253" s="48" t="str">
        <f>IF(AND(Creditos!$C$10&lt;&gt;"",Creditos!$M$10="OK",8&lt;=Creditos!$H$10),MIN(J253,MAX(0,N253-K253-H253)),"")</f>
        <v/>
      </c>
      <c r="P253" s="48" t="str">
        <f>IF(AND(Creditos!$C$10&lt;&gt;"",Creditos!$M$10="OK",8&lt;=Creditos!$H$10),MAX(0,L253-N253),"")</f>
        <v/>
      </c>
      <c r="Q253" s="50" t="str">
        <f>IF(AND(Creditos!$C$10&lt;&gt;"",Creditos!$M$10="OK",8&lt;=Creditos!$H$10),IF(AND(E253&lt;Supuestos!$D$6,P253&gt;0.005),Supuestos!$D$6-E253,0),"")</f>
        <v/>
      </c>
      <c r="R253" s="48" t="str">
        <f>IF(AND(Creditos!$C$10&lt;&gt;"",Creditos!$M$10="OK",8&lt;=Creditos!$H$10),MAX(0,N253-L253),"")</f>
        <v/>
      </c>
      <c r="S253" s="46" t="str">
        <f>IF(AND(Creditos!$C$10&lt;&gt;"",Creditos!$M$10="OK",8&lt;=Creditos!$H$10),IF(R253&gt;0.005,"Exceso sin imputar",IF(P253&lt;=0.005,"Pagada",IF(E253&lt;Supuestos!$D$6,"Vencida",IF(E253=Supuestos!$D$6,"Vence hoy","Por vencer")))),"")</f>
        <v/>
      </c>
      <c r="T253" s="46">
        <f>IF(AND(Creditos!$C$10&lt;&gt;"",Creditos!$M$10="OK",8&lt;=Creditos!$H$10),IF(P253&gt;0.005,E253,999999),999999)</f>
        <v>999999</v>
      </c>
    </row>
    <row r="254" ht="25.5" customHeight="1">
      <c r="C254" s="46" t="str">
        <f>IF(AND(Creditos!$C$10&lt;&gt;"",Creditos!$M$10="OK",9&lt;=Creditos!$H$10),Creditos!$C$10,"")</f>
        <v/>
      </c>
      <c r="D254" s="46" t="str">
        <f>IF(AND(Creditos!$C$10&lt;&gt;"",Creditos!$M$10="OK",9&lt;=Creditos!$H$10),9,"")</f>
        <v/>
      </c>
      <c r="E254" s="47" t="str">
        <f>IF(AND(Creditos!$C$10&lt;&gt;"",Creditos!$M$10="OK",9&lt;=Creditos!$H$10),EDATE(Creditos!$I$10,8),"")</f>
        <v/>
      </c>
      <c r="F254" s="48" t="str">
        <f>IF(AND(Creditos!$C$10&lt;&gt;"",Creditos!$M$10="OK",9&lt;=Creditos!$H$10),M253,"")</f>
        <v/>
      </c>
      <c r="G254" s="49" t="str">
        <f>IF(AND(Creditos!$C$10&lt;&gt;"",Creditos!$M$10="OK",9&lt;=Creditos!$H$10),Creditos!$N$10,"")</f>
        <v/>
      </c>
      <c r="H254" s="48" t="str">
        <f>IF(AND(Creditos!$C$10&lt;&gt;"",Creditos!$M$10="OK",9&lt;=Creditos!$H$10),ROUND(F254*G254,2),"")</f>
        <v/>
      </c>
      <c r="I254" s="48" t="str">
        <f>IF(AND(Creditos!$C$10&lt;&gt;"",Creditos!$M$10="OK",9&lt;=Creditos!$H$10),IF(9=Creditos!$H$10,F254+H254,MIN(Creditos!$O$10,F254+H254)),"")</f>
        <v/>
      </c>
      <c r="J254" s="48" t="str">
        <f>IF(AND(Creditos!$C$10&lt;&gt;"",Creditos!$M$10="OK",9&lt;=Creditos!$H$10),MIN(F254,MAX(0,I254-H254)),"")</f>
        <v/>
      </c>
      <c r="K254" s="48" t="str">
        <f>IF(AND(Creditos!$C$10&lt;&gt;"",Creditos!$M$10="OK",9&lt;=Creditos!$H$10),Creditos!$J$10+Creditos!$K$10,"")</f>
        <v/>
      </c>
      <c r="L254" s="48" t="str">
        <f>IF(AND(Creditos!$C$10&lt;&gt;"",Creditos!$M$10="OK",9&lt;=Creditos!$H$10),I254+K254,"")</f>
        <v/>
      </c>
      <c r="M254" s="48" t="str">
        <f>IF(AND(Creditos!$C$10&lt;&gt;"",Creditos!$M$10="OK",9&lt;=Creditos!$H$10),MAX(0,F254-J254),"")</f>
        <v/>
      </c>
      <c r="N254" s="48" t="str">
        <f>IF(AND(Creditos!$C$10&lt;&gt;"",Creditos!$M$10="OK",9&lt;=Creditos!$H$10),SUMIFS(Pagos!$F$6:$F$305,Pagos!$C$6:$C$305,C254,Pagos!$D$6:$D$305,D254,Pagos!$E$6:$E$305,"&lt;="&amp;Supuestos!$D$6,Pagos!$H$6:$H$305,"OK"),"")</f>
        <v/>
      </c>
      <c r="O254" s="48" t="str">
        <f>IF(AND(Creditos!$C$10&lt;&gt;"",Creditos!$M$10="OK",9&lt;=Creditos!$H$10),MIN(J254,MAX(0,N254-K254-H254)),"")</f>
        <v/>
      </c>
      <c r="P254" s="48" t="str">
        <f>IF(AND(Creditos!$C$10&lt;&gt;"",Creditos!$M$10="OK",9&lt;=Creditos!$H$10),MAX(0,L254-N254),"")</f>
        <v/>
      </c>
      <c r="Q254" s="50" t="str">
        <f>IF(AND(Creditos!$C$10&lt;&gt;"",Creditos!$M$10="OK",9&lt;=Creditos!$H$10),IF(AND(E254&lt;Supuestos!$D$6,P254&gt;0.005),Supuestos!$D$6-E254,0),"")</f>
        <v/>
      </c>
      <c r="R254" s="48" t="str">
        <f>IF(AND(Creditos!$C$10&lt;&gt;"",Creditos!$M$10="OK",9&lt;=Creditos!$H$10),MAX(0,N254-L254),"")</f>
        <v/>
      </c>
      <c r="S254" s="46" t="str">
        <f>IF(AND(Creditos!$C$10&lt;&gt;"",Creditos!$M$10="OK",9&lt;=Creditos!$H$10),IF(R254&gt;0.005,"Exceso sin imputar",IF(P254&lt;=0.005,"Pagada",IF(E254&lt;Supuestos!$D$6,"Vencida",IF(E254=Supuestos!$D$6,"Vence hoy","Por vencer")))),"")</f>
        <v/>
      </c>
      <c r="T254" s="46">
        <f>IF(AND(Creditos!$C$10&lt;&gt;"",Creditos!$M$10="OK",9&lt;=Creditos!$H$10),IF(P254&gt;0.005,E254,999999),999999)</f>
        <v>999999</v>
      </c>
    </row>
    <row r="255" ht="25.5" customHeight="1">
      <c r="C255" s="46" t="str">
        <f>IF(AND(Creditos!$C$10&lt;&gt;"",Creditos!$M$10="OK",10&lt;=Creditos!$H$10),Creditos!$C$10,"")</f>
        <v/>
      </c>
      <c r="D255" s="46" t="str">
        <f>IF(AND(Creditos!$C$10&lt;&gt;"",Creditos!$M$10="OK",10&lt;=Creditos!$H$10),10,"")</f>
        <v/>
      </c>
      <c r="E255" s="47" t="str">
        <f>IF(AND(Creditos!$C$10&lt;&gt;"",Creditos!$M$10="OK",10&lt;=Creditos!$H$10),EDATE(Creditos!$I$10,9),"")</f>
        <v/>
      </c>
      <c r="F255" s="48" t="str">
        <f>IF(AND(Creditos!$C$10&lt;&gt;"",Creditos!$M$10="OK",10&lt;=Creditos!$H$10),M254,"")</f>
        <v/>
      </c>
      <c r="G255" s="49" t="str">
        <f>IF(AND(Creditos!$C$10&lt;&gt;"",Creditos!$M$10="OK",10&lt;=Creditos!$H$10),Creditos!$N$10,"")</f>
        <v/>
      </c>
      <c r="H255" s="48" t="str">
        <f>IF(AND(Creditos!$C$10&lt;&gt;"",Creditos!$M$10="OK",10&lt;=Creditos!$H$10),ROUND(F255*G255,2),"")</f>
        <v/>
      </c>
      <c r="I255" s="48" t="str">
        <f>IF(AND(Creditos!$C$10&lt;&gt;"",Creditos!$M$10="OK",10&lt;=Creditos!$H$10),IF(10=Creditos!$H$10,F255+H255,MIN(Creditos!$O$10,F255+H255)),"")</f>
        <v/>
      </c>
      <c r="J255" s="48" t="str">
        <f>IF(AND(Creditos!$C$10&lt;&gt;"",Creditos!$M$10="OK",10&lt;=Creditos!$H$10),MIN(F255,MAX(0,I255-H255)),"")</f>
        <v/>
      </c>
      <c r="K255" s="48" t="str">
        <f>IF(AND(Creditos!$C$10&lt;&gt;"",Creditos!$M$10="OK",10&lt;=Creditos!$H$10),Creditos!$J$10+Creditos!$K$10,"")</f>
        <v/>
      </c>
      <c r="L255" s="48" t="str">
        <f>IF(AND(Creditos!$C$10&lt;&gt;"",Creditos!$M$10="OK",10&lt;=Creditos!$H$10),I255+K255,"")</f>
        <v/>
      </c>
      <c r="M255" s="48" t="str">
        <f>IF(AND(Creditos!$C$10&lt;&gt;"",Creditos!$M$10="OK",10&lt;=Creditos!$H$10),MAX(0,F255-J255),"")</f>
        <v/>
      </c>
      <c r="N255" s="48" t="str">
        <f>IF(AND(Creditos!$C$10&lt;&gt;"",Creditos!$M$10="OK",10&lt;=Creditos!$H$10),SUMIFS(Pagos!$F$6:$F$305,Pagos!$C$6:$C$305,C255,Pagos!$D$6:$D$305,D255,Pagos!$E$6:$E$305,"&lt;="&amp;Supuestos!$D$6,Pagos!$H$6:$H$305,"OK"),"")</f>
        <v/>
      </c>
      <c r="O255" s="48" t="str">
        <f>IF(AND(Creditos!$C$10&lt;&gt;"",Creditos!$M$10="OK",10&lt;=Creditos!$H$10),MIN(J255,MAX(0,N255-K255-H255)),"")</f>
        <v/>
      </c>
      <c r="P255" s="48" t="str">
        <f>IF(AND(Creditos!$C$10&lt;&gt;"",Creditos!$M$10="OK",10&lt;=Creditos!$H$10),MAX(0,L255-N255),"")</f>
        <v/>
      </c>
      <c r="Q255" s="50" t="str">
        <f>IF(AND(Creditos!$C$10&lt;&gt;"",Creditos!$M$10="OK",10&lt;=Creditos!$H$10),IF(AND(E255&lt;Supuestos!$D$6,P255&gt;0.005),Supuestos!$D$6-E255,0),"")</f>
        <v/>
      </c>
      <c r="R255" s="48" t="str">
        <f>IF(AND(Creditos!$C$10&lt;&gt;"",Creditos!$M$10="OK",10&lt;=Creditos!$H$10),MAX(0,N255-L255),"")</f>
        <v/>
      </c>
      <c r="S255" s="46" t="str">
        <f>IF(AND(Creditos!$C$10&lt;&gt;"",Creditos!$M$10="OK",10&lt;=Creditos!$H$10),IF(R255&gt;0.005,"Exceso sin imputar",IF(P255&lt;=0.005,"Pagada",IF(E255&lt;Supuestos!$D$6,"Vencida",IF(E255=Supuestos!$D$6,"Vence hoy","Por vencer")))),"")</f>
        <v/>
      </c>
      <c r="T255" s="46">
        <f>IF(AND(Creditos!$C$10&lt;&gt;"",Creditos!$M$10="OK",10&lt;=Creditos!$H$10),IF(P255&gt;0.005,E255,999999),999999)</f>
        <v>999999</v>
      </c>
    </row>
    <row r="256" ht="25.5" customHeight="1">
      <c r="C256" s="46" t="str">
        <f>IF(AND(Creditos!$C$10&lt;&gt;"",Creditos!$M$10="OK",11&lt;=Creditos!$H$10),Creditos!$C$10,"")</f>
        <v/>
      </c>
      <c r="D256" s="46" t="str">
        <f>IF(AND(Creditos!$C$10&lt;&gt;"",Creditos!$M$10="OK",11&lt;=Creditos!$H$10),11,"")</f>
        <v/>
      </c>
      <c r="E256" s="47" t="str">
        <f>IF(AND(Creditos!$C$10&lt;&gt;"",Creditos!$M$10="OK",11&lt;=Creditos!$H$10),EDATE(Creditos!$I$10,10),"")</f>
        <v/>
      </c>
      <c r="F256" s="48" t="str">
        <f>IF(AND(Creditos!$C$10&lt;&gt;"",Creditos!$M$10="OK",11&lt;=Creditos!$H$10),M255,"")</f>
        <v/>
      </c>
      <c r="G256" s="49" t="str">
        <f>IF(AND(Creditos!$C$10&lt;&gt;"",Creditos!$M$10="OK",11&lt;=Creditos!$H$10),Creditos!$N$10,"")</f>
        <v/>
      </c>
      <c r="H256" s="48" t="str">
        <f>IF(AND(Creditos!$C$10&lt;&gt;"",Creditos!$M$10="OK",11&lt;=Creditos!$H$10),ROUND(F256*G256,2),"")</f>
        <v/>
      </c>
      <c r="I256" s="48" t="str">
        <f>IF(AND(Creditos!$C$10&lt;&gt;"",Creditos!$M$10="OK",11&lt;=Creditos!$H$10),IF(11=Creditos!$H$10,F256+H256,MIN(Creditos!$O$10,F256+H256)),"")</f>
        <v/>
      </c>
      <c r="J256" s="48" t="str">
        <f>IF(AND(Creditos!$C$10&lt;&gt;"",Creditos!$M$10="OK",11&lt;=Creditos!$H$10),MIN(F256,MAX(0,I256-H256)),"")</f>
        <v/>
      </c>
      <c r="K256" s="48" t="str">
        <f>IF(AND(Creditos!$C$10&lt;&gt;"",Creditos!$M$10="OK",11&lt;=Creditos!$H$10),Creditos!$J$10+Creditos!$K$10,"")</f>
        <v/>
      </c>
      <c r="L256" s="48" t="str">
        <f>IF(AND(Creditos!$C$10&lt;&gt;"",Creditos!$M$10="OK",11&lt;=Creditos!$H$10),I256+K256,"")</f>
        <v/>
      </c>
      <c r="M256" s="48" t="str">
        <f>IF(AND(Creditos!$C$10&lt;&gt;"",Creditos!$M$10="OK",11&lt;=Creditos!$H$10),MAX(0,F256-J256),"")</f>
        <v/>
      </c>
      <c r="N256" s="48" t="str">
        <f>IF(AND(Creditos!$C$10&lt;&gt;"",Creditos!$M$10="OK",11&lt;=Creditos!$H$10),SUMIFS(Pagos!$F$6:$F$305,Pagos!$C$6:$C$305,C256,Pagos!$D$6:$D$305,D256,Pagos!$E$6:$E$305,"&lt;="&amp;Supuestos!$D$6,Pagos!$H$6:$H$305,"OK"),"")</f>
        <v/>
      </c>
      <c r="O256" s="48" t="str">
        <f>IF(AND(Creditos!$C$10&lt;&gt;"",Creditos!$M$10="OK",11&lt;=Creditos!$H$10),MIN(J256,MAX(0,N256-K256-H256)),"")</f>
        <v/>
      </c>
      <c r="P256" s="48" t="str">
        <f>IF(AND(Creditos!$C$10&lt;&gt;"",Creditos!$M$10="OK",11&lt;=Creditos!$H$10),MAX(0,L256-N256),"")</f>
        <v/>
      </c>
      <c r="Q256" s="50" t="str">
        <f>IF(AND(Creditos!$C$10&lt;&gt;"",Creditos!$M$10="OK",11&lt;=Creditos!$H$10),IF(AND(E256&lt;Supuestos!$D$6,P256&gt;0.005),Supuestos!$D$6-E256,0),"")</f>
        <v/>
      </c>
      <c r="R256" s="48" t="str">
        <f>IF(AND(Creditos!$C$10&lt;&gt;"",Creditos!$M$10="OK",11&lt;=Creditos!$H$10),MAX(0,N256-L256),"")</f>
        <v/>
      </c>
      <c r="S256" s="46" t="str">
        <f>IF(AND(Creditos!$C$10&lt;&gt;"",Creditos!$M$10="OK",11&lt;=Creditos!$H$10),IF(R256&gt;0.005,"Exceso sin imputar",IF(P256&lt;=0.005,"Pagada",IF(E256&lt;Supuestos!$D$6,"Vencida",IF(E256=Supuestos!$D$6,"Vence hoy","Por vencer")))),"")</f>
        <v/>
      </c>
      <c r="T256" s="46">
        <f>IF(AND(Creditos!$C$10&lt;&gt;"",Creditos!$M$10="OK",11&lt;=Creditos!$H$10),IF(P256&gt;0.005,E256,999999),999999)</f>
        <v>999999</v>
      </c>
    </row>
    <row r="257" ht="25.5" customHeight="1">
      <c r="C257" s="46" t="str">
        <f>IF(AND(Creditos!$C$10&lt;&gt;"",Creditos!$M$10="OK",12&lt;=Creditos!$H$10),Creditos!$C$10,"")</f>
        <v/>
      </c>
      <c r="D257" s="46" t="str">
        <f>IF(AND(Creditos!$C$10&lt;&gt;"",Creditos!$M$10="OK",12&lt;=Creditos!$H$10),12,"")</f>
        <v/>
      </c>
      <c r="E257" s="47" t="str">
        <f>IF(AND(Creditos!$C$10&lt;&gt;"",Creditos!$M$10="OK",12&lt;=Creditos!$H$10),EDATE(Creditos!$I$10,11),"")</f>
        <v/>
      </c>
      <c r="F257" s="48" t="str">
        <f>IF(AND(Creditos!$C$10&lt;&gt;"",Creditos!$M$10="OK",12&lt;=Creditos!$H$10),M256,"")</f>
        <v/>
      </c>
      <c r="G257" s="49" t="str">
        <f>IF(AND(Creditos!$C$10&lt;&gt;"",Creditos!$M$10="OK",12&lt;=Creditos!$H$10),Creditos!$N$10,"")</f>
        <v/>
      </c>
      <c r="H257" s="48" t="str">
        <f>IF(AND(Creditos!$C$10&lt;&gt;"",Creditos!$M$10="OK",12&lt;=Creditos!$H$10),ROUND(F257*G257,2),"")</f>
        <v/>
      </c>
      <c r="I257" s="48" t="str">
        <f>IF(AND(Creditos!$C$10&lt;&gt;"",Creditos!$M$10="OK",12&lt;=Creditos!$H$10),IF(12=Creditos!$H$10,F257+H257,MIN(Creditos!$O$10,F257+H257)),"")</f>
        <v/>
      </c>
      <c r="J257" s="48" t="str">
        <f>IF(AND(Creditos!$C$10&lt;&gt;"",Creditos!$M$10="OK",12&lt;=Creditos!$H$10),MIN(F257,MAX(0,I257-H257)),"")</f>
        <v/>
      </c>
      <c r="K257" s="48" t="str">
        <f>IF(AND(Creditos!$C$10&lt;&gt;"",Creditos!$M$10="OK",12&lt;=Creditos!$H$10),Creditos!$J$10+Creditos!$K$10,"")</f>
        <v/>
      </c>
      <c r="L257" s="48" t="str">
        <f>IF(AND(Creditos!$C$10&lt;&gt;"",Creditos!$M$10="OK",12&lt;=Creditos!$H$10),I257+K257,"")</f>
        <v/>
      </c>
      <c r="M257" s="48" t="str">
        <f>IF(AND(Creditos!$C$10&lt;&gt;"",Creditos!$M$10="OK",12&lt;=Creditos!$H$10),MAX(0,F257-J257),"")</f>
        <v/>
      </c>
      <c r="N257" s="48" t="str">
        <f>IF(AND(Creditos!$C$10&lt;&gt;"",Creditos!$M$10="OK",12&lt;=Creditos!$H$10),SUMIFS(Pagos!$F$6:$F$305,Pagos!$C$6:$C$305,C257,Pagos!$D$6:$D$305,D257,Pagos!$E$6:$E$305,"&lt;="&amp;Supuestos!$D$6,Pagos!$H$6:$H$305,"OK"),"")</f>
        <v/>
      </c>
      <c r="O257" s="48" t="str">
        <f>IF(AND(Creditos!$C$10&lt;&gt;"",Creditos!$M$10="OK",12&lt;=Creditos!$H$10),MIN(J257,MAX(0,N257-K257-H257)),"")</f>
        <v/>
      </c>
      <c r="P257" s="48" t="str">
        <f>IF(AND(Creditos!$C$10&lt;&gt;"",Creditos!$M$10="OK",12&lt;=Creditos!$H$10),MAX(0,L257-N257),"")</f>
        <v/>
      </c>
      <c r="Q257" s="50" t="str">
        <f>IF(AND(Creditos!$C$10&lt;&gt;"",Creditos!$M$10="OK",12&lt;=Creditos!$H$10),IF(AND(E257&lt;Supuestos!$D$6,P257&gt;0.005),Supuestos!$D$6-E257,0),"")</f>
        <v/>
      </c>
      <c r="R257" s="48" t="str">
        <f>IF(AND(Creditos!$C$10&lt;&gt;"",Creditos!$M$10="OK",12&lt;=Creditos!$H$10),MAX(0,N257-L257),"")</f>
        <v/>
      </c>
      <c r="S257" s="46" t="str">
        <f>IF(AND(Creditos!$C$10&lt;&gt;"",Creditos!$M$10="OK",12&lt;=Creditos!$H$10),IF(R257&gt;0.005,"Exceso sin imputar",IF(P257&lt;=0.005,"Pagada",IF(E257&lt;Supuestos!$D$6,"Vencida",IF(E257=Supuestos!$D$6,"Vence hoy","Por vencer")))),"")</f>
        <v/>
      </c>
      <c r="T257" s="46">
        <f>IF(AND(Creditos!$C$10&lt;&gt;"",Creditos!$M$10="OK",12&lt;=Creditos!$H$10),IF(P257&gt;0.005,E257,999999),999999)</f>
        <v>999999</v>
      </c>
    </row>
    <row r="258" ht="25.5" customHeight="1">
      <c r="C258" s="46" t="str">
        <f>IF(AND(Creditos!$C$10&lt;&gt;"",Creditos!$M$10="OK",13&lt;=Creditos!$H$10),Creditos!$C$10,"")</f>
        <v/>
      </c>
      <c r="D258" s="46" t="str">
        <f>IF(AND(Creditos!$C$10&lt;&gt;"",Creditos!$M$10="OK",13&lt;=Creditos!$H$10),13,"")</f>
        <v/>
      </c>
      <c r="E258" s="47" t="str">
        <f>IF(AND(Creditos!$C$10&lt;&gt;"",Creditos!$M$10="OK",13&lt;=Creditos!$H$10),EDATE(Creditos!$I$10,12),"")</f>
        <v/>
      </c>
      <c r="F258" s="48" t="str">
        <f>IF(AND(Creditos!$C$10&lt;&gt;"",Creditos!$M$10="OK",13&lt;=Creditos!$H$10),M257,"")</f>
        <v/>
      </c>
      <c r="G258" s="49" t="str">
        <f>IF(AND(Creditos!$C$10&lt;&gt;"",Creditos!$M$10="OK",13&lt;=Creditos!$H$10),Creditos!$N$10,"")</f>
        <v/>
      </c>
      <c r="H258" s="48" t="str">
        <f>IF(AND(Creditos!$C$10&lt;&gt;"",Creditos!$M$10="OK",13&lt;=Creditos!$H$10),ROUND(F258*G258,2),"")</f>
        <v/>
      </c>
      <c r="I258" s="48" t="str">
        <f>IF(AND(Creditos!$C$10&lt;&gt;"",Creditos!$M$10="OK",13&lt;=Creditos!$H$10),IF(13=Creditos!$H$10,F258+H258,MIN(Creditos!$O$10,F258+H258)),"")</f>
        <v/>
      </c>
      <c r="J258" s="48" t="str">
        <f>IF(AND(Creditos!$C$10&lt;&gt;"",Creditos!$M$10="OK",13&lt;=Creditos!$H$10),MIN(F258,MAX(0,I258-H258)),"")</f>
        <v/>
      </c>
      <c r="K258" s="48" t="str">
        <f>IF(AND(Creditos!$C$10&lt;&gt;"",Creditos!$M$10="OK",13&lt;=Creditos!$H$10),Creditos!$J$10+Creditos!$K$10,"")</f>
        <v/>
      </c>
      <c r="L258" s="48" t="str">
        <f>IF(AND(Creditos!$C$10&lt;&gt;"",Creditos!$M$10="OK",13&lt;=Creditos!$H$10),I258+K258,"")</f>
        <v/>
      </c>
      <c r="M258" s="48" t="str">
        <f>IF(AND(Creditos!$C$10&lt;&gt;"",Creditos!$M$10="OK",13&lt;=Creditos!$H$10),MAX(0,F258-J258),"")</f>
        <v/>
      </c>
      <c r="N258" s="48" t="str">
        <f>IF(AND(Creditos!$C$10&lt;&gt;"",Creditos!$M$10="OK",13&lt;=Creditos!$H$10),SUMIFS(Pagos!$F$6:$F$305,Pagos!$C$6:$C$305,C258,Pagos!$D$6:$D$305,D258,Pagos!$E$6:$E$305,"&lt;="&amp;Supuestos!$D$6,Pagos!$H$6:$H$305,"OK"),"")</f>
        <v/>
      </c>
      <c r="O258" s="48" t="str">
        <f>IF(AND(Creditos!$C$10&lt;&gt;"",Creditos!$M$10="OK",13&lt;=Creditos!$H$10),MIN(J258,MAX(0,N258-K258-H258)),"")</f>
        <v/>
      </c>
      <c r="P258" s="48" t="str">
        <f>IF(AND(Creditos!$C$10&lt;&gt;"",Creditos!$M$10="OK",13&lt;=Creditos!$H$10),MAX(0,L258-N258),"")</f>
        <v/>
      </c>
      <c r="Q258" s="50" t="str">
        <f>IF(AND(Creditos!$C$10&lt;&gt;"",Creditos!$M$10="OK",13&lt;=Creditos!$H$10),IF(AND(E258&lt;Supuestos!$D$6,P258&gt;0.005),Supuestos!$D$6-E258,0),"")</f>
        <v/>
      </c>
      <c r="R258" s="48" t="str">
        <f>IF(AND(Creditos!$C$10&lt;&gt;"",Creditos!$M$10="OK",13&lt;=Creditos!$H$10),MAX(0,N258-L258),"")</f>
        <v/>
      </c>
      <c r="S258" s="46" t="str">
        <f>IF(AND(Creditos!$C$10&lt;&gt;"",Creditos!$M$10="OK",13&lt;=Creditos!$H$10),IF(R258&gt;0.005,"Exceso sin imputar",IF(P258&lt;=0.005,"Pagada",IF(E258&lt;Supuestos!$D$6,"Vencida",IF(E258=Supuestos!$D$6,"Vence hoy","Por vencer")))),"")</f>
        <v/>
      </c>
      <c r="T258" s="46">
        <f>IF(AND(Creditos!$C$10&lt;&gt;"",Creditos!$M$10="OK",13&lt;=Creditos!$H$10),IF(P258&gt;0.005,E258,999999),999999)</f>
        <v>999999</v>
      </c>
    </row>
    <row r="259" ht="25.5" customHeight="1">
      <c r="C259" s="46" t="str">
        <f>IF(AND(Creditos!$C$10&lt;&gt;"",Creditos!$M$10="OK",14&lt;=Creditos!$H$10),Creditos!$C$10,"")</f>
        <v/>
      </c>
      <c r="D259" s="46" t="str">
        <f>IF(AND(Creditos!$C$10&lt;&gt;"",Creditos!$M$10="OK",14&lt;=Creditos!$H$10),14,"")</f>
        <v/>
      </c>
      <c r="E259" s="47" t="str">
        <f>IF(AND(Creditos!$C$10&lt;&gt;"",Creditos!$M$10="OK",14&lt;=Creditos!$H$10),EDATE(Creditos!$I$10,13),"")</f>
        <v/>
      </c>
      <c r="F259" s="48" t="str">
        <f>IF(AND(Creditos!$C$10&lt;&gt;"",Creditos!$M$10="OK",14&lt;=Creditos!$H$10),M258,"")</f>
        <v/>
      </c>
      <c r="G259" s="49" t="str">
        <f>IF(AND(Creditos!$C$10&lt;&gt;"",Creditos!$M$10="OK",14&lt;=Creditos!$H$10),Creditos!$N$10,"")</f>
        <v/>
      </c>
      <c r="H259" s="48" t="str">
        <f>IF(AND(Creditos!$C$10&lt;&gt;"",Creditos!$M$10="OK",14&lt;=Creditos!$H$10),ROUND(F259*G259,2),"")</f>
        <v/>
      </c>
      <c r="I259" s="48" t="str">
        <f>IF(AND(Creditos!$C$10&lt;&gt;"",Creditos!$M$10="OK",14&lt;=Creditos!$H$10),IF(14=Creditos!$H$10,F259+H259,MIN(Creditos!$O$10,F259+H259)),"")</f>
        <v/>
      </c>
      <c r="J259" s="48" t="str">
        <f>IF(AND(Creditos!$C$10&lt;&gt;"",Creditos!$M$10="OK",14&lt;=Creditos!$H$10),MIN(F259,MAX(0,I259-H259)),"")</f>
        <v/>
      </c>
      <c r="K259" s="48" t="str">
        <f>IF(AND(Creditos!$C$10&lt;&gt;"",Creditos!$M$10="OK",14&lt;=Creditos!$H$10),Creditos!$J$10+Creditos!$K$10,"")</f>
        <v/>
      </c>
      <c r="L259" s="48" t="str">
        <f>IF(AND(Creditos!$C$10&lt;&gt;"",Creditos!$M$10="OK",14&lt;=Creditos!$H$10),I259+K259,"")</f>
        <v/>
      </c>
      <c r="M259" s="48" t="str">
        <f>IF(AND(Creditos!$C$10&lt;&gt;"",Creditos!$M$10="OK",14&lt;=Creditos!$H$10),MAX(0,F259-J259),"")</f>
        <v/>
      </c>
      <c r="N259" s="48" t="str">
        <f>IF(AND(Creditos!$C$10&lt;&gt;"",Creditos!$M$10="OK",14&lt;=Creditos!$H$10),SUMIFS(Pagos!$F$6:$F$305,Pagos!$C$6:$C$305,C259,Pagos!$D$6:$D$305,D259,Pagos!$E$6:$E$305,"&lt;="&amp;Supuestos!$D$6,Pagos!$H$6:$H$305,"OK"),"")</f>
        <v/>
      </c>
      <c r="O259" s="48" t="str">
        <f>IF(AND(Creditos!$C$10&lt;&gt;"",Creditos!$M$10="OK",14&lt;=Creditos!$H$10),MIN(J259,MAX(0,N259-K259-H259)),"")</f>
        <v/>
      </c>
      <c r="P259" s="48" t="str">
        <f>IF(AND(Creditos!$C$10&lt;&gt;"",Creditos!$M$10="OK",14&lt;=Creditos!$H$10),MAX(0,L259-N259),"")</f>
        <v/>
      </c>
      <c r="Q259" s="50" t="str">
        <f>IF(AND(Creditos!$C$10&lt;&gt;"",Creditos!$M$10="OK",14&lt;=Creditos!$H$10),IF(AND(E259&lt;Supuestos!$D$6,P259&gt;0.005),Supuestos!$D$6-E259,0),"")</f>
        <v/>
      </c>
      <c r="R259" s="48" t="str">
        <f>IF(AND(Creditos!$C$10&lt;&gt;"",Creditos!$M$10="OK",14&lt;=Creditos!$H$10),MAX(0,N259-L259),"")</f>
        <v/>
      </c>
      <c r="S259" s="46" t="str">
        <f>IF(AND(Creditos!$C$10&lt;&gt;"",Creditos!$M$10="OK",14&lt;=Creditos!$H$10),IF(R259&gt;0.005,"Exceso sin imputar",IF(P259&lt;=0.005,"Pagada",IF(E259&lt;Supuestos!$D$6,"Vencida",IF(E259=Supuestos!$D$6,"Vence hoy","Por vencer")))),"")</f>
        <v/>
      </c>
      <c r="T259" s="46">
        <f>IF(AND(Creditos!$C$10&lt;&gt;"",Creditos!$M$10="OK",14&lt;=Creditos!$H$10),IF(P259&gt;0.005,E259,999999),999999)</f>
        <v>999999</v>
      </c>
    </row>
    <row r="260" ht="25.5" customHeight="1">
      <c r="C260" s="46" t="str">
        <f>IF(AND(Creditos!$C$10&lt;&gt;"",Creditos!$M$10="OK",15&lt;=Creditos!$H$10),Creditos!$C$10,"")</f>
        <v/>
      </c>
      <c r="D260" s="46" t="str">
        <f>IF(AND(Creditos!$C$10&lt;&gt;"",Creditos!$M$10="OK",15&lt;=Creditos!$H$10),15,"")</f>
        <v/>
      </c>
      <c r="E260" s="47" t="str">
        <f>IF(AND(Creditos!$C$10&lt;&gt;"",Creditos!$M$10="OK",15&lt;=Creditos!$H$10),EDATE(Creditos!$I$10,14),"")</f>
        <v/>
      </c>
      <c r="F260" s="48" t="str">
        <f>IF(AND(Creditos!$C$10&lt;&gt;"",Creditos!$M$10="OK",15&lt;=Creditos!$H$10),M259,"")</f>
        <v/>
      </c>
      <c r="G260" s="49" t="str">
        <f>IF(AND(Creditos!$C$10&lt;&gt;"",Creditos!$M$10="OK",15&lt;=Creditos!$H$10),Creditos!$N$10,"")</f>
        <v/>
      </c>
      <c r="H260" s="48" t="str">
        <f>IF(AND(Creditos!$C$10&lt;&gt;"",Creditos!$M$10="OK",15&lt;=Creditos!$H$10),ROUND(F260*G260,2),"")</f>
        <v/>
      </c>
      <c r="I260" s="48" t="str">
        <f>IF(AND(Creditos!$C$10&lt;&gt;"",Creditos!$M$10="OK",15&lt;=Creditos!$H$10),IF(15=Creditos!$H$10,F260+H260,MIN(Creditos!$O$10,F260+H260)),"")</f>
        <v/>
      </c>
      <c r="J260" s="48" t="str">
        <f>IF(AND(Creditos!$C$10&lt;&gt;"",Creditos!$M$10="OK",15&lt;=Creditos!$H$10),MIN(F260,MAX(0,I260-H260)),"")</f>
        <v/>
      </c>
      <c r="K260" s="48" t="str">
        <f>IF(AND(Creditos!$C$10&lt;&gt;"",Creditos!$M$10="OK",15&lt;=Creditos!$H$10),Creditos!$J$10+Creditos!$K$10,"")</f>
        <v/>
      </c>
      <c r="L260" s="48" t="str">
        <f>IF(AND(Creditos!$C$10&lt;&gt;"",Creditos!$M$10="OK",15&lt;=Creditos!$H$10),I260+K260,"")</f>
        <v/>
      </c>
      <c r="M260" s="48" t="str">
        <f>IF(AND(Creditos!$C$10&lt;&gt;"",Creditos!$M$10="OK",15&lt;=Creditos!$H$10),MAX(0,F260-J260),"")</f>
        <v/>
      </c>
      <c r="N260" s="48" t="str">
        <f>IF(AND(Creditos!$C$10&lt;&gt;"",Creditos!$M$10="OK",15&lt;=Creditos!$H$10),SUMIFS(Pagos!$F$6:$F$305,Pagos!$C$6:$C$305,C260,Pagos!$D$6:$D$305,D260,Pagos!$E$6:$E$305,"&lt;="&amp;Supuestos!$D$6,Pagos!$H$6:$H$305,"OK"),"")</f>
        <v/>
      </c>
      <c r="O260" s="48" t="str">
        <f>IF(AND(Creditos!$C$10&lt;&gt;"",Creditos!$M$10="OK",15&lt;=Creditos!$H$10),MIN(J260,MAX(0,N260-K260-H260)),"")</f>
        <v/>
      </c>
      <c r="P260" s="48" t="str">
        <f>IF(AND(Creditos!$C$10&lt;&gt;"",Creditos!$M$10="OK",15&lt;=Creditos!$H$10),MAX(0,L260-N260),"")</f>
        <v/>
      </c>
      <c r="Q260" s="50" t="str">
        <f>IF(AND(Creditos!$C$10&lt;&gt;"",Creditos!$M$10="OK",15&lt;=Creditos!$H$10),IF(AND(E260&lt;Supuestos!$D$6,P260&gt;0.005),Supuestos!$D$6-E260,0),"")</f>
        <v/>
      </c>
      <c r="R260" s="48" t="str">
        <f>IF(AND(Creditos!$C$10&lt;&gt;"",Creditos!$M$10="OK",15&lt;=Creditos!$H$10),MAX(0,N260-L260),"")</f>
        <v/>
      </c>
      <c r="S260" s="46" t="str">
        <f>IF(AND(Creditos!$C$10&lt;&gt;"",Creditos!$M$10="OK",15&lt;=Creditos!$H$10),IF(R260&gt;0.005,"Exceso sin imputar",IF(P260&lt;=0.005,"Pagada",IF(E260&lt;Supuestos!$D$6,"Vencida",IF(E260=Supuestos!$D$6,"Vence hoy","Por vencer")))),"")</f>
        <v/>
      </c>
      <c r="T260" s="46">
        <f>IF(AND(Creditos!$C$10&lt;&gt;"",Creditos!$M$10="OK",15&lt;=Creditos!$H$10),IF(P260&gt;0.005,E260,999999),999999)</f>
        <v>999999</v>
      </c>
    </row>
    <row r="261" ht="25.5" customHeight="1">
      <c r="C261" s="46" t="str">
        <f>IF(AND(Creditos!$C$10&lt;&gt;"",Creditos!$M$10="OK",16&lt;=Creditos!$H$10),Creditos!$C$10,"")</f>
        <v/>
      </c>
      <c r="D261" s="46" t="str">
        <f>IF(AND(Creditos!$C$10&lt;&gt;"",Creditos!$M$10="OK",16&lt;=Creditos!$H$10),16,"")</f>
        <v/>
      </c>
      <c r="E261" s="47" t="str">
        <f>IF(AND(Creditos!$C$10&lt;&gt;"",Creditos!$M$10="OK",16&lt;=Creditos!$H$10),EDATE(Creditos!$I$10,15),"")</f>
        <v/>
      </c>
      <c r="F261" s="48" t="str">
        <f>IF(AND(Creditos!$C$10&lt;&gt;"",Creditos!$M$10="OK",16&lt;=Creditos!$H$10),M260,"")</f>
        <v/>
      </c>
      <c r="G261" s="49" t="str">
        <f>IF(AND(Creditos!$C$10&lt;&gt;"",Creditos!$M$10="OK",16&lt;=Creditos!$H$10),Creditos!$N$10,"")</f>
        <v/>
      </c>
      <c r="H261" s="48" t="str">
        <f>IF(AND(Creditos!$C$10&lt;&gt;"",Creditos!$M$10="OK",16&lt;=Creditos!$H$10),ROUND(F261*G261,2),"")</f>
        <v/>
      </c>
      <c r="I261" s="48" t="str">
        <f>IF(AND(Creditos!$C$10&lt;&gt;"",Creditos!$M$10="OK",16&lt;=Creditos!$H$10),IF(16=Creditos!$H$10,F261+H261,MIN(Creditos!$O$10,F261+H261)),"")</f>
        <v/>
      </c>
      <c r="J261" s="48" t="str">
        <f>IF(AND(Creditos!$C$10&lt;&gt;"",Creditos!$M$10="OK",16&lt;=Creditos!$H$10),MIN(F261,MAX(0,I261-H261)),"")</f>
        <v/>
      </c>
      <c r="K261" s="48" t="str">
        <f>IF(AND(Creditos!$C$10&lt;&gt;"",Creditos!$M$10="OK",16&lt;=Creditos!$H$10),Creditos!$J$10+Creditos!$K$10,"")</f>
        <v/>
      </c>
      <c r="L261" s="48" t="str">
        <f>IF(AND(Creditos!$C$10&lt;&gt;"",Creditos!$M$10="OK",16&lt;=Creditos!$H$10),I261+K261,"")</f>
        <v/>
      </c>
      <c r="M261" s="48" t="str">
        <f>IF(AND(Creditos!$C$10&lt;&gt;"",Creditos!$M$10="OK",16&lt;=Creditos!$H$10),MAX(0,F261-J261),"")</f>
        <v/>
      </c>
      <c r="N261" s="48" t="str">
        <f>IF(AND(Creditos!$C$10&lt;&gt;"",Creditos!$M$10="OK",16&lt;=Creditos!$H$10),SUMIFS(Pagos!$F$6:$F$305,Pagos!$C$6:$C$305,C261,Pagos!$D$6:$D$305,D261,Pagos!$E$6:$E$305,"&lt;="&amp;Supuestos!$D$6,Pagos!$H$6:$H$305,"OK"),"")</f>
        <v/>
      </c>
      <c r="O261" s="48" t="str">
        <f>IF(AND(Creditos!$C$10&lt;&gt;"",Creditos!$M$10="OK",16&lt;=Creditos!$H$10),MIN(J261,MAX(0,N261-K261-H261)),"")</f>
        <v/>
      </c>
      <c r="P261" s="48" t="str">
        <f>IF(AND(Creditos!$C$10&lt;&gt;"",Creditos!$M$10="OK",16&lt;=Creditos!$H$10),MAX(0,L261-N261),"")</f>
        <v/>
      </c>
      <c r="Q261" s="50" t="str">
        <f>IF(AND(Creditos!$C$10&lt;&gt;"",Creditos!$M$10="OK",16&lt;=Creditos!$H$10),IF(AND(E261&lt;Supuestos!$D$6,P261&gt;0.005),Supuestos!$D$6-E261,0),"")</f>
        <v/>
      </c>
      <c r="R261" s="48" t="str">
        <f>IF(AND(Creditos!$C$10&lt;&gt;"",Creditos!$M$10="OK",16&lt;=Creditos!$H$10),MAX(0,N261-L261),"")</f>
        <v/>
      </c>
      <c r="S261" s="46" t="str">
        <f>IF(AND(Creditos!$C$10&lt;&gt;"",Creditos!$M$10="OK",16&lt;=Creditos!$H$10),IF(R261&gt;0.005,"Exceso sin imputar",IF(P261&lt;=0.005,"Pagada",IF(E261&lt;Supuestos!$D$6,"Vencida",IF(E261=Supuestos!$D$6,"Vence hoy","Por vencer")))),"")</f>
        <v/>
      </c>
      <c r="T261" s="46">
        <f>IF(AND(Creditos!$C$10&lt;&gt;"",Creditos!$M$10="OK",16&lt;=Creditos!$H$10),IF(P261&gt;0.005,E261,999999),999999)</f>
        <v>999999</v>
      </c>
    </row>
    <row r="262" ht="25.5" customHeight="1">
      <c r="C262" s="46" t="str">
        <f>IF(AND(Creditos!$C$10&lt;&gt;"",Creditos!$M$10="OK",17&lt;=Creditos!$H$10),Creditos!$C$10,"")</f>
        <v/>
      </c>
      <c r="D262" s="46" t="str">
        <f>IF(AND(Creditos!$C$10&lt;&gt;"",Creditos!$M$10="OK",17&lt;=Creditos!$H$10),17,"")</f>
        <v/>
      </c>
      <c r="E262" s="47" t="str">
        <f>IF(AND(Creditos!$C$10&lt;&gt;"",Creditos!$M$10="OK",17&lt;=Creditos!$H$10),EDATE(Creditos!$I$10,16),"")</f>
        <v/>
      </c>
      <c r="F262" s="48" t="str">
        <f>IF(AND(Creditos!$C$10&lt;&gt;"",Creditos!$M$10="OK",17&lt;=Creditos!$H$10),M261,"")</f>
        <v/>
      </c>
      <c r="G262" s="49" t="str">
        <f>IF(AND(Creditos!$C$10&lt;&gt;"",Creditos!$M$10="OK",17&lt;=Creditos!$H$10),Creditos!$N$10,"")</f>
        <v/>
      </c>
      <c r="H262" s="48" t="str">
        <f>IF(AND(Creditos!$C$10&lt;&gt;"",Creditos!$M$10="OK",17&lt;=Creditos!$H$10),ROUND(F262*G262,2),"")</f>
        <v/>
      </c>
      <c r="I262" s="48" t="str">
        <f>IF(AND(Creditos!$C$10&lt;&gt;"",Creditos!$M$10="OK",17&lt;=Creditos!$H$10),IF(17=Creditos!$H$10,F262+H262,MIN(Creditos!$O$10,F262+H262)),"")</f>
        <v/>
      </c>
      <c r="J262" s="48" t="str">
        <f>IF(AND(Creditos!$C$10&lt;&gt;"",Creditos!$M$10="OK",17&lt;=Creditos!$H$10),MIN(F262,MAX(0,I262-H262)),"")</f>
        <v/>
      </c>
      <c r="K262" s="48" t="str">
        <f>IF(AND(Creditos!$C$10&lt;&gt;"",Creditos!$M$10="OK",17&lt;=Creditos!$H$10),Creditos!$J$10+Creditos!$K$10,"")</f>
        <v/>
      </c>
      <c r="L262" s="48" t="str">
        <f>IF(AND(Creditos!$C$10&lt;&gt;"",Creditos!$M$10="OK",17&lt;=Creditos!$H$10),I262+K262,"")</f>
        <v/>
      </c>
      <c r="M262" s="48" t="str">
        <f>IF(AND(Creditos!$C$10&lt;&gt;"",Creditos!$M$10="OK",17&lt;=Creditos!$H$10),MAX(0,F262-J262),"")</f>
        <v/>
      </c>
      <c r="N262" s="48" t="str">
        <f>IF(AND(Creditos!$C$10&lt;&gt;"",Creditos!$M$10="OK",17&lt;=Creditos!$H$10),SUMIFS(Pagos!$F$6:$F$305,Pagos!$C$6:$C$305,C262,Pagos!$D$6:$D$305,D262,Pagos!$E$6:$E$305,"&lt;="&amp;Supuestos!$D$6,Pagos!$H$6:$H$305,"OK"),"")</f>
        <v/>
      </c>
      <c r="O262" s="48" t="str">
        <f>IF(AND(Creditos!$C$10&lt;&gt;"",Creditos!$M$10="OK",17&lt;=Creditos!$H$10),MIN(J262,MAX(0,N262-K262-H262)),"")</f>
        <v/>
      </c>
      <c r="P262" s="48" t="str">
        <f>IF(AND(Creditos!$C$10&lt;&gt;"",Creditos!$M$10="OK",17&lt;=Creditos!$H$10),MAX(0,L262-N262),"")</f>
        <v/>
      </c>
      <c r="Q262" s="50" t="str">
        <f>IF(AND(Creditos!$C$10&lt;&gt;"",Creditos!$M$10="OK",17&lt;=Creditos!$H$10),IF(AND(E262&lt;Supuestos!$D$6,P262&gt;0.005),Supuestos!$D$6-E262,0),"")</f>
        <v/>
      </c>
      <c r="R262" s="48" t="str">
        <f>IF(AND(Creditos!$C$10&lt;&gt;"",Creditos!$M$10="OK",17&lt;=Creditos!$H$10),MAX(0,N262-L262),"")</f>
        <v/>
      </c>
      <c r="S262" s="46" t="str">
        <f>IF(AND(Creditos!$C$10&lt;&gt;"",Creditos!$M$10="OK",17&lt;=Creditos!$H$10),IF(R262&gt;0.005,"Exceso sin imputar",IF(P262&lt;=0.005,"Pagada",IF(E262&lt;Supuestos!$D$6,"Vencida",IF(E262=Supuestos!$D$6,"Vence hoy","Por vencer")))),"")</f>
        <v/>
      </c>
      <c r="T262" s="46">
        <f>IF(AND(Creditos!$C$10&lt;&gt;"",Creditos!$M$10="OK",17&lt;=Creditos!$H$10),IF(P262&gt;0.005,E262,999999),999999)</f>
        <v>999999</v>
      </c>
    </row>
    <row r="263" ht="25.5" customHeight="1">
      <c r="C263" s="46" t="str">
        <f>IF(AND(Creditos!$C$10&lt;&gt;"",Creditos!$M$10="OK",18&lt;=Creditos!$H$10),Creditos!$C$10,"")</f>
        <v/>
      </c>
      <c r="D263" s="46" t="str">
        <f>IF(AND(Creditos!$C$10&lt;&gt;"",Creditos!$M$10="OK",18&lt;=Creditos!$H$10),18,"")</f>
        <v/>
      </c>
      <c r="E263" s="47" t="str">
        <f>IF(AND(Creditos!$C$10&lt;&gt;"",Creditos!$M$10="OK",18&lt;=Creditos!$H$10),EDATE(Creditos!$I$10,17),"")</f>
        <v/>
      </c>
      <c r="F263" s="48" t="str">
        <f>IF(AND(Creditos!$C$10&lt;&gt;"",Creditos!$M$10="OK",18&lt;=Creditos!$H$10),M262,"")</f>
        <v/>
      </c>
      <c r="G263" s="49" t="str">
        <f>IF(AND(Creditos!$C$10&lt;&gt;"",Creditos!$M$10="OK",18&lt;=Creditos!$H$10),Creditos!$N$10,"")</f>
        <v/>
      </c>
      <c r="H263" s="48" t="str">
        <f>IF(AND(Creditos!$C$10&lt;&gt;"",Creditos!$M$10="OK",18&lt;=Creditos!$H$10),ROUND(F263*G263,2),"")</f>
        <v/>
      </c>
      <c r="I263" s="48" t="str">
        <f>IF(AND(Creditos!$C$10&lt;&gt;"",Creditos!$M$10="OK",18&lt;=Creditos!$H$10),IF(18=Creditos!$H$10,F263+H263,MIN(Creditos!$O$10,F263+H263)),"")</f>
        <v/>
      </c>
      <c r="J263" s="48" t="str">
        <f>IF(AND(Creditos!$C$10&lt;&gt;"",Creditos!$M$10="OK",18&lt;=Creditos!$H$10),MIN(F263,MAX(0,I263-H263)),"")</f>
        <v/>
      </c>
      <c r="K263" s="48" t="str">
        <f>IF(AND(Creditos!$C$10&lt;&gt;"",Creditos!$M$10="OK",18&lt;=Creditos!$H$10),Creditos!$J$10+Creditos!$K$10,"")</f>
        <v/>
      </c>
      <c r="L263" s="48" t="str">
        <f>IF(AND(Creditos!$C$10&lt;&gt;"",Creditos!$M$10="OK",18&lt;=Creditos!$H$10),I263+K263,"")</f>
        <v/>
      </c>
      <c r="M263" s="48" t="str">
        <f>IF(AND(Creditos!$C$10&lt;&gt;"",Creditos!$M$10="OK",18&lt;=Creditos!$H$10),MAX(0,F263-J263),"")</f>
        <v/>
      </c>
      <c r="N263" s="48" t="str">
        <f>IF(AND(Creditos!$C$10&lt;&gt;"",Creditos!$M$10="OK",18&lt;=Creditos!$H$10),SUMIFS(Pagos!$F$6:$F$305,Pagos!$C$6:$C$305,C263,Pagos!$D$6:$D$305,D263,Pagos!$E$6:$E$305,"&lt;="&amp;Supuestos!$D$6,Pagos!$H$6:$H$305,"OK"),"")</f>
        <v/>
      </c>
      <c r="O263" s="48" t="str">
        <f>IF(AND(Creditos!$C$10&lt;&gt;"",Creditos!$M$10="OK",18&lt;=Creditos!$H$10),MIN(J263,MAX(0,N263-K263-H263)),"")</f>
        <v/>
      </c>
      <c r="P263" s="48" t="str">
        <f>IF(AND(Creditos!$C$10&lt;&gt;"",Creditos!$M$10="OK",18&lt;=Creditos!$H$10),MAX(0,L263-N263),"")</f>
        <v/>
      </c>
      <c r="Q263" s="50" t="str">
        <f>IF(AND(Creditos!$C$10&lt;&gt;"",Creditos!$M$10="OK",18&lt;=Creditos!$H$10),IF(AND(E263&lt;Supuestos!$D$6,P263&gt;0.005),Supuestos!$D$6-E263,0),"")</f>
        <v/>
      </c>
      <c r="R263" s="48" t="str">
        <f>IF(AND(Creditos!$C$10&lt;&gt;"",Creditos!$M$10="OK",18&lt;=Creditos!$H$10),MAX(0,N263-L263),"")</f>
        <v/>
      </c>
      <c r="S263" s="46" t="str">
        <f>IF(AND(Creditos!$C$10&lt;&gt;"",Creditos!$M$10="OK",18&lt;=Creditos!$H$10),IF(R263&gt;0.005,"Exceso sin imputar",IF(P263&lt;=0.005,"Pagada",IF(E263&lt;Supuestos!$D$6,"Vencida",IF(E263=Supuestos!$D$6,"Vence hoy","Por vencer")))),"")</f>
        <v/>
      </c>
      <c r="T263" s="46">
        <f>IF(AND(Creditos!$C$10&lt;&gt;"",Creditos!$M$10="OK",18&lt;=Creditos!$H$10),IF(P263&gt;0.005,E263,999999),999999)</f>
        <v>999999</v>
      </c>
    </row>
    <row r="264" ht="25.5" customHeight="1">
      <c r="C264" s="46" t="str">
        <f>IF(AND(Creditos!$C$10&lt;&gt;"",Creditos!$M$10="OK",19&lt;=Creditos!$H$10),Creditos!$C$10,"")</f>
        <v/>
      </c>
      <c r="D264" s="46" t="str">
        <f>IF(AND(Creditos!$C$10&lt;&gt;"",Creditos!$M$10="OK",19&lt;=Creditos!$H$10),19,"")</f>
        <v/>
      </c>
      <c r="E264" s="47" t="str">
        <f>IF(AND(Creditos!$C$10&lt;&gt;"",Creditos!$M$10="OK",19&lt;=Creditos!$H$10),EDATE(Creditos!$I$10,18),"")</f>
        <v/>
      </c>
      <c r="F264" s="48" t="str">
        <f>IF(AND(Creditos!$C$10&lt;&gt;"",Creditos!$M$10="OK",19&lt;=Creditos!$H$10),M263,"")</f>
        <v/>
      </c>
      <c r="G264" s="49" t="str">
        <f>IF(AND(Creditos!$C$10&lt;&gt;"",Creditos!$M$10="OK",19&lt;=Creditos!$H$10),Creditos!$N$10,"")</f>
        <v/>
      </c>
      <c r="H264" s="48" t="str">
        <f>IF(AND(Creditos!$C$10&lt;&gt;"",Creditos!$M$10="OK",19&lt;=Creditos!$H$10),ROUND(F264*G264,2),"")</f>
        <v/>
      </c>
      <c r="I264" s="48" t="str">
        <f>IF(AND(Creditos!$C$10&lt;&gt;"",Creditos!$M$10="OK",19&lt;=Creditos!$H$10),IF(19=Creditos!$H$10,F264+H264,MIN(Creditos!$O$10,F264+H264)),"")</f>
        <v/>
      </c>
      <c r="J264" s="48" t="str">
        <f>IF(AND(Creditos!$C$10&lt;&gt;"",Creditos!$M$10="OK",19&lt;=Creditos!$H$10),MIN(F264,MAX(0,I264-H264)),"")</f>
        <v/>
      </c>
      <c r="K264" s="48" t="str">
        <f>IF(AND(Creditos!$C$10&lt;&gt;"",Creditos!$M$10="OK",19&lt;=Creditos!$H$10),Creditos!$J$10+Creditos!$K$10,"")</f>
        <v/>
      </c>
      <c r="L264" s="48" t="str">
        <f>IF(AND(Creditos!$C$10&lt;&gt;"",Creditos!$M$10="OK",19&lt;=Creditos!$H$10),I264+K264,"")</f>
        <v/>
      </c>
      <c r="M264" s="48" t="str">
        <f>IF(AND(Creditos!$C$10&lt;&gt;"",Creditos!$M$10="OK",19&lt;=Creditos!$H$10),MAX(0,F264-J264),"")</f>
        <v/>
      </c>
      <c r="N264" s="48" t="str">
        <f>IF(AND(Creditos!$C$10&lt;&gt;"",Creditos!$M$10="OK",19&lt;=Creditos!$H$10),SUMIFS(Pagos!$F$6:$F$305,Pagos!$C$6:$C$305,C264,Pagos!$D$6:$D$305,D264,Pagos!$E$6:$E$305,"&lt;="&amp;Supuestos!$D$6,Pagos!$H$6:$H$305,"OK"),"")</f>
        <v/>
      </c>
      <c r="O264" s="48" t="str">
        <f>IF(AND(Creditos!$C$10&lt;&gt;"",Creditos!$M$10="OK",19&lt;=Creditos!$H$10),MIN(J264,MAX(0,N264-K264-H264)),"")</f>
        <v/>
      </c>
      <c r="P264" s="48" t="str">
        <f>IF(AND(Creditos!$C$10&lt;&gt;"",Creditos!$M$10="OK",19&lt;=Creditos!$H$10),MAX(0,L264-N264),"")</f>
        <v/>
      </c>
      <c r="Q264" s="50" t="str">
        <f>IF(AND(Creditos!$C$10&lt;&gt;"",Creditos!$M$10="OK",19&lt;=Creditos!$H$10),IF(AND(E264&lt;Supuestos!$D$6,P264&gt;0.005),Supuestos!$D$6-E264,0),"")</f>
        <v/>
      </c>
      <c r="R264" s="48" t="str">
        <f>IF(AND(Creditos!$C$10&lt;&gt;"",Creditos!$M$10="OK",19&lt;=Creditos!$H$10),MAX(0,N264-L264),"")</f>
        <v/>
      </c>
      <c r="S264" s="46" t="str">
        <f>IF(AND(Creditos!$C$10&lt;&gt;"",Creditos!$M$10="OK",19&lt;=Creditos!$H$10),IF(R264&gt;0.005,"Exceso sin imputar",IF(P264&lt;=0.005,"Pagada",IF(E264&lt;Supuestos!$D$6,"Vencida",IF(E264=Supuestos!$D$6,"Vence hoy","Por vencer")))),"")</f>
        <v/>
      </c>
      <c r="T264" s="46">
        <f>IF(AND(Creditos!$C$10&lt;&gt;"",Creditos!$M$10="OK",19&lt;=Creditos!$H$10),IF(P264&gt;0.005,E264,999999),999999)</f>
        <v>999999</v>
      </c>
    </row>
    <row r="265" ht="25.5" customHeight="1">
      <c r="C265" s="46" t="str">
        <f>IF(AND(Creditos!$C$10&lt;&gt;"",Creditos!$M$10="OK",20&lt;=Creditos!$H$10),Creditos!$C$10,"")</f>
        <v/>
      </c>
      <c r="D265" s="46" t="str">
        <f>IF(AND(Creditos!$C$10&lt;&gt;"",Creditos!$M$10="OK",20&lt;=Creditos!$H$10),20,"")</f>
        <v/>
      </c>
      <c r="E265" s="47" t="str">
        <f>IF(AND(Creditos!$C$10&lt;&gt;"",Creditos!$M$10="OK",20&lt;=Creditos!$H$10),EDATE(Creditos!$I$10,19),"")</f>
        <v/>
      </c>
      <c r="F265" s="48" t="str">
        <f>IF(AND(Creditos!$C$10&lt;&gt;"",Creditos!$M$10="OK",20&lt;=Creditos!$H$10),M264,"")</f>
        <v/>
      </c>
      <c r="G265" s="49" t="str">
        <f>IF(AND(Creditos!$C$10&lt;&gt;"",Creditos!$M$10="OK",20&lt;=Creditos!$H$10),Creditos!$N$10,"")</f>
        <v/>
      </c>
      <c r="H265" s="48" t="str">
        <f>IF(AND(Creditos!$C$10&lt;&gt;"",Creditos!$M$10="OK",20&lt;=Creditos!$H$10),ROUND(F265*G265,2),"")</f>
        <v/>
      </c>
      <c r="I265" s="48" t="str">
        <f>IF(AND(Creditos!$C$10&lt;&gt;"",Creditos!$M$10="OK",20&lt;=Creditos!$H$10),IF(20=Creditos!$H$10,F265+H265,MIN(Creditos!$O$10,F265+H265)),"")</f>
        <v/>
      </c>
      <c r="J265" s="48" t="str">
        <f>IF(AND(Creditos!$C$10&lt;&gt;"",Creditos!$M$10="OK",20&lt;=Creditos!$H$10),MIN(F265,MAX(0,I265-H265)),"")</f>
        <v/>
      </c>
      <c r="K265" s="48" t="str">
        <f>IF(AND(Creditos!$C$10&lt;&gt;"",Creditos!$M$10="OK",20&lt;=Creditos!$H$10),Creditos!$J$10+Creditos!$K$10,"")</f>
        <v/>
      </c>
      <c r="L265" s="48" t="str">
        <f>IF(AND(Creditos!$C$10&lt;&gt;"",Creditos!$M$10="OK",20&lt;=Creditos!$H$10),I265+K265,"")</f>
        <v/>
      </c>
      <c r="M265" s="48" t="str">
        <f>IF(AND(Creditos!$C$10&lt;&gt;"",Creditos!$M$10="OK",20&lt;=Creditos!$H$10),MAX(0,F265-J265),"")</f>
        <v/>
      </c>
      <c r="N265" s="48" t="str">
        <f>IF(AND(Creditos!$C$10&lt;&gt;"",Creditos!$M$10="OK",20&lt;=Creditos!$H$10),SUMIFS(Pagos!$F$6:$F$305,Pagos!$C$6:$C$305,C265,Pagos!$D$6:$D$305,D265,Pagos!$E$6:$E$305,"&lt;="&amp;Supuestos!$D$6,Pagos!$H$6:$H$305,"OK"),"")</f>
        <v/>
      </c>
      <c r="O265" s="48" t="str">
        <f>IF(AND(Creditos!$C$10&lt;&gt;"",Creditos!$M$10="OK",20&lt;=Creditos!$H$10),MIN(J265,MAX(0,N265-K265-H265)),"")</f>
        <v/>
      </c>
      <c r="P265" s="48" t="str">
        <f>IF(AND(Creditos!$C$10&lt;&gt;"",Creditos!$M$10="OK",20&lt;=Creditos!$H$10),MAX(0,L265-N265),"")</f>
        <v/>
      </c>
      <c r="Q265" s="50" t="str">
        <f>IF(AND(Creditos!$C$10&lt;&gt;"",Creditos!$M$10="OK",20&lt;=Creditos!$H$10),IF(AND(E265&lt;Supuestos!$D$6,P265&gt;0.005),Supuestos!$D$6-E265,0),"")</f>
        <v/>
      </c>
      <c r="R265" s="48" t="str">
        <f>IF(AND(Creditos!$C$10&lt;&gt;"",Creditos!$M$10="OK",20&lt;=Creditos!$H$10),MAX(0,N265-L265),"")</f>
        <v/>
      </c>
      <c r="S265" s="46" t="str">
        <f>IF(AND(Creditos!$C$10&lt;&gt;"",Creditos!$M$10="OK",20&lt;=Creditos!$H$10),IF(R265&gt;0.005,"Exceso sin imputar",IF(P265&lt;=0.005,"Pagada",IF(E265&lt;Supuestos!$D$6,"Vencida",IF(E265=Supuestos!$D$6,"Vence hoy","Por vencer")))),"")</f>
        <v/>
      </c>
      <c r="T265" s="46">
        <f>IF(AND(Creditos!$C$10&lt;&gt;"",Creditos!$M$10="OK",20&lt;=Creditos!$H$10),IF(P265&gt;0.005,E265,999999),999999)</f>
        <v>999999</v>
      </c>
    </row>
    <row r="266" ht="25.5" customHeight="1">
      <c r="C266" s="46" t="str">
        <f>IF(AND(Creditos!$C$10&lt;&gt;"",Creditos!$M$10="OK",21&lt;=Creditos!$H$10),Creditos!$C$10,"")</f>
        <v/>
      </c>
      <c r="D266" s="46" t="str">
        <f>IF(AND(Creditos!$C$10&lt;&gt;"",Creditos!$M$10="OK",21&lt;=Creditos!$H$10),21,"")</f>
        <v/>
      </c>
      <c r="E266" s="47" t="str">
        <f>IF(AND(Creditos!$C$10&lt;&gt;"",Creditos!$M$10="OK",21&lt;=Creditos!$H$10),EDATE(Creditos!$I$10,20),"")</f>
        <v/>
      </c>
      <c r="F266" s="48" t="str">
        <f>IF(AND(Creditos!$C$10&lt;&gt;"",Creditos!$M$10="OK",21&lt;=Creditos!$H$10),M265,"")</f>
        <v/>
      </c>
      <c r="G266" s="49" t="str">
        <f>IF(AND(Creditos!$C$10&lt;&gt;"",Creditos!$M$10="OK",21&lt;=Creditos!$H$10),Creditos!$N$10,"")</f>
        <v/>
      </c>
      <c r="H266" s="48" t="str">
        <f>IF(AND(Creditos!$C$10&lt;&gt;"",Creditos!$M$10="OK",21&lt;=Creditos!$H$10),ROUND(F266*G266,2),"")</f>
        <v/>
      </c>
      <c r="I266" s="48" t="str">
        <f>IF(AND(Creditos!$C$10&lt;&gt;"",Creditos!$M$10="OK",21&lt;=Creditos!$H$10),IF(21=Creditos!$H$10,F266+H266,MIN(Creditos!$O$10,F266+H266)),"")</f>
        <v/>
      </c>
      <c r="J266" s="48" t="str">
        <f>IF(AND(Creditos!$C$10&lt;&gt;"",Creditos!$M$10="OK",21&lt;=Creditos!$H$10),MIN(F266,MAX(0,I266-H266)),"")</f>
        <v/>
      </c>
      <c r="K266" s="48" t="str">
        <f>IF(AND(Creditos!$C$10&lt;&gt;"",Creditos!$M$10="OK",21&lt;=Creditos!$H$10),Creditos!$J$10+Creditos!$K$10,"")</f>
        <v/>
      </c>
      <c r="L266" s="48" t="str">
        <f>IF(AND(Creditos!$C$10&lt;&gt;"",Creditos!$M$10="OK",21&lt;=Creditos!$H$10),I266+K266,"")</f>
        <v/>
      </c>
      <c r="M266" s="48" t="str">
        <f>IF(AND(Creditos!$C$10&lt;&gt;"",Creditos!$M$10="OK",21&lt;=Creditos!$H$10),MAX(0,F266-J266),"")</f>
        <v/>
      </c>
      <c r="N266" s="48" t="str">
        <f>IF(AND(Creditos!$C$10&lt;&gt;"",Creditos!$M$10="OK",21&lt;=Creditos!$H$10),SUMIFS(Pagos!$F$6:$F$305,Pagos!$C$6:$C$305,C266,Pagos!$D$6:$D$305,D266,Pagos!$E$6:$E$305,"&lt;="&amp;Supuestos!$D$6,Pagos!$H$6:$H$305,"OK"),"")</f>
        <v/>
      </c>
      <c r="O266" s="48" t="str">
        <f>IF(AND(Creditos!$C$10&lt;&gt;"",Creditos!$M$10="OK",21&lt;=Creditos!$H$10),MIN(J266,MAX(0,N266-K266-H266)),"")</f>
        <v/>
      </c>
      <c r="P266" s="48" t="str">
        <f>IF(AND(Creditos!$C$10&lt;&gt;"",Creditos!$M$10="OK",21&lt;=Creditos!$H$10),MAX(0,L266-N266),"")</f>
        <v/>
      </c>
      <c r="Q266" s="50" t="str">
        <f>IF(AND(Creditos!$C$10&lt;&gt;"",Creditos!$M$10="OK",21&lt;=Creditos!$H$10),IF(AND(E266&lt;Supuestos!$D$6,P266&gt;0.005),Supuestos!$D$6-E266,0),"")</f>
        <v/>
      </c>
      <c r="R266" s="48" t="str">
        <f>IF(AND(Creditos!$C$10&lt;&gt;"",Creditos!$M$10="OK",21&lt;=Creditos!$H$10),MAX(0,N266-L266),"")</f>
        <v/>
      </c>
      <c r="S266" s="46" t="str">
        <f>IF(AND(Creditos!$C$10&lt;&gt;"",Creditos!$M$10="OK",21&lt;=Creditos!$H$10),IF(R266&gt;0.005,"Exceso sin imputar",IF(P266&lt;=0.005,"Pagada",IF(E266&lt;Supuestos!$D$6,"Vencida",IF(E266=Supuestos!$D$6,"Vence hoy","Por vencer")))),"")</f>
        <v/>
      </c>
      <c r="T266" s="46">
        <f>IF(AND(Creditos!$C$10&lt;&gt;"",Creditos!$M$10="OK",21&lt;=Creditos!$H$10),IF(P266&gt;0.005,E266,999999),999999)</f>
        <v>999999</v>
      </c>
    </row>
    <row r="267" ht="25.5" customHeight="1">
      <c r="C267" s="46" t="str">
        <f>IF(AND(Creditos!$C$10&lt;&gt;"",Creditos!$M$10="OK",22&lt;=Creditos!$H$10),Creditos!$C$10,"")</f>
        <v/>
      </c>
      <c r="D267" s="46" t="str">
        <f>IF(AND(Creditos!$C$10&lt;&gt;"",Creditos!$M$10="OK",22&lt;=Creditos!$H$10),22,"")</f>
        <v/>
      </c>
      <c r="E267" s="47" t="str">
        <f>IF(AND(Creditos!$C$10&lt;&gt;"",Creditos!$M$10="OK",22&lt;=Creditos!$H$10),EDATE(Creditos!$I$10,21),"")</f>
        <v/>
      </c>
      <c r="F267" s="48" t="str">
        <f>IF(AND(Creditos!$C$10&lt;&gt;"",Creditos!$M$10="OK",22&lt;=Creditos!$H$10),M266,"")</f>
        <v/>
      </c>
      <c r="G267" s="49" t="str">
        <f>IF(AND(Creditos!$C$10&lt;&gt;"",Creditos!$M$10="OK",22&lt;=Creditos!$H$10),Creditos!$N$10,"")</f>
        <v/>
      </c>
      <c r="H267" s="48" t="str">
        <f>IF(AND(Creditos!$C$10&lt;&gt;"",Creditos!$M$10="OK",22&lt;=Creditos!$H$10),ROUND(F267*G267,2),"")</f>
        <v/>
      </c>
      <c r="I267" s="48" t="str">
        <f>IF(AND(Creditos!$C$10&lt;&gt;"",Creditos!$M$10="OK",22&lt;=Creditos!$H$10),IF(22=Creditos!$H$10,F267+H267,MIN(Creditos!$O$10,F267+H267)),"")</f>
        <v/>
      </c>
      <c r="J267" s="48" t="str">
        <f>IF(AND(Creditos!$C$10&lt;&gt;"",Creditos!$M$10="OK",22&lt;=Creditos!$H$10),MIN(F267,MAX(0,I267-H267)),"")</f>
        <v/>
      </c>
      <c r="K267" s="48" t="str">
        <f>IF(AND(Creditos!$C$10&lt;&gt;"",Creditos!$M$10="OK",22&lt;=Creditos!$H$10),Creditos!$J$10+Creditos!$K$10,"")</f>
        <v/>
      </c>
      <c r="L267" s="48" t="str">
        <f>IF(AND(Creditos!$C$10&lt;&gt;"",Creditos!$M$10="OK",22&lt;=Creditos!$H$10),I267+K267,"")</f>
        <v/>
      </c>
      <c r="M267" s="48" t="str">
        <f>IF(AND(Creditos!$C$10&lt;&gt;"",Creditos!$M$10="OK",22&lt;=Creditos!$H$10),MAX(0,F267-J267),"")</f>
        <v/>
      </c>
      <c r="N267" s="48" t="str">
        <f>IF(AND(Creditos!$C$10&lt;&gt;"",Creditos!$M$10="OK",22&lt;=Creditos!$H$10),SUMIFS(Pagos!$F$6:$F$305,Pagos!$C$6:$C$305,C267,Pagos!$D$6:$D$305,D267,Pagos!$E$6:$E$305,"&lt;="&amp;Supuestos!$D$6,Pagos!$H$6:$H$305,"OK"),"")</f>
        <v/>
      </c>
      <c r="O267" s="48" t="str">
        <f>IF(AND(Creditos!$C$10&lt;&gt;"",Creditos!$M$10="OK",22&lt;=Creditos!$H$10),MIN(J267,MAX(0,N267-K267-H267)),"")</f>
        <v/>
      </c>
      <c r="P267" s="48" t="str">
        <f>IF(AND(Creditos!$C$10&lt;&gt;"",Creditos!$M$10="OK",22&lt;=Creditos!$H$10),MAX(0,L267-N267),"")</f>
        <v/>
      </c>
      <c r="Q267" s="50" t="str">
        <f>IF(AND(Creditos!$C$10&lt;&gt;"",Creditos!$M$10="OK",22&lt;=Creditos!$H$10),IF(AND(E267&lt;Supuestos!$D$6,P267&gt;0.005),Supuestos!$D$6-E267,0),"")</f>
        <v/>
      </c>
      <c r="R267" s="48" t="str">
        <f>IF(AND(Creditos!$C$10&lt;&gt;"",Creditos!$M$10="OK",22&lt;=Creditos!$H$10),MAX(0,N267-L267),"")</f>
        <v/>
      </c>
      <c r="S267" s="46" t="str">
        <f>IF(AND(Creditos!$C$10&lt;&gt;"",Creditos!$M$10="OK",22&lt;=Creditos!$H$10),IF(R267&gt;0.005,"Exceso sin imputar",IF(P267&lt;=0.005,"Pagada",IF(E267&lt;Supuestos!$D$6,"Vencida",IF(E267=Supuestos!$D$6,"Vence hoy","Por vencer")))),"")</f>
        <v/>
      </c>
      <c r="T267" s="46">
        <f>IF(AND(Creditos!$C$10&lt;&gt;"",Creditos!$M$10="OK",22&lt;=Creditos!$H$10),IF(P267&gt;0.005,E267,999999),999999)</f>
        <v>999999</v>
      </c>
    </row>
    <row r="268" ht="25.5" customHeight="1">
      <c r="C268" s="46" t="str">
        <f>IF(AND(Creditos!$C$10&lt;&gt;"",Creditos!$M$10="OK",23&lt;=Creditos!$H$10),Creditos!$C$10,"")</f>
        <v/>
      </c>
      <c r="D268" s="46" t="str">
        <f>IF(AND(Creditos!$C$10&lt;&gt;"",Creditos!$M$10="OK",23&lt;=Creditos!$H$10),23,"")</f>
        <v/>
      </c>
      <c r="E268" s="47" t="str">
        <f>IF(AND(Creditos!$C$10&lt;&gt;"",Creditos!$M$10="OK",23&lt;=Creditos!$H$10),EDATE(Creditos!$I$10,22),"")</f>
        <v/>
      </c>
      <c r="F268" s="48" t="str">
        <f>IF(AND(Creditos!$C$10&lt;&gt;"",Creditos!$M$10="OK",23&lt;=Creditos!$H$10),M267,"")</f>
        <v/>
      </c>
      <c r="G268" s="49" t="str">
        <f>IF(AND(Creditos!$C$10&lt;&gt;"",Creditos!$M$10="OK",23&lt;=Creditos!$H$10),Creditos!$N$10,"")</f>
        <v/>
      </c>
      <c r="H268" s="48" t="str">
        <f>IF(AND(Creditos!$C$10&lt;&gt;"",Creditos!$M$10="OK",23&lt;=Creditos!$H$10),ROUND(F268*G268,2),"")</f>
        <v/>
      </c>
      <c r="I268" s="48" t="str">
        <f>IF(AND(Creditos!$C$10&lt;&gt;"",Creditos!$M$10="OK",23&lt;=Creditos!$H$10),IF(23=Creditos!$H$10,F268+H268,MIN(Creditos!$O$10,F268+H268)),"")</f>
        <v/>
      </c>
      <c r="J268" s="48" t="str">
        <f>IF(AND(Creditos!$C$10&lt;&gt;"",Creditos!$M$10="OK",23&lt;=Creditos!$H$10),MIN(F268,MAX(0,I268-H268)),"")</f>
        <v/>
      </c>
      <c r="K268" s="48" t="str">
        <f>IF(AND(Creditos!$C$10&lt;&gt;"",Creditos!$M$10="OK",23&lt;=Creditos!$H$10),Creditos!$J$10+Creditos!$K$10,"")</f>
        <v/>
      </c>
      <c r="L268" s="48" t="str">
        <f>IF(AND(Creditos!$C$10&lt;&gt;"",Creditos!$M$10="OK",23&lt;=Creditos!$H$10),I268+K268,"")</f>
        <v/>
      </c>
      <c r="M268" s="48" t="str">
        <f>IF(AND(Creditos!$C$10&lt;&gt;"",Creditos!$M$10="OK",23&lt;=Creditos!$H$10),MAX(0,F268-J268),"")</f>
        <v/>
      </c>
      <c r="N268" s="48" t="str">
        <f>IF(AND(Creditos!$C$10&lt;&gt;"",Creditos!$M$10="OK",23&lt;=Creditos!$H$10),SUMIFS(Pagos!$F$6:$F$305,Pagos!$C$6:$C$305,C268,Pagos!$D$6:$D$305,D268,Pagos!$E$6:$E$305,"&lt;="&amp;Supuestos!$D$6,Pagos!$H$6:$H$305,"OK"),"")</f>
        <v/>
      </c>
      <c r="O268" s="48" t="str">
        <f>IF(AND(Creditos!$C$10&lt;&gt;"",Creditos!$M$10="OK",23&lt;=Creditos!$H$10),MIN(J268,MAX(0,N268-K268-H268)),"")</f>
        <v/>
      </c>
      <c r="P268" s="48" t="str">
        <f>IF(AND(Creditos!$C$10&lt;&gt;"",Creditos!$M$10="OK",23&lt;=Creditos!$H$10),MAX(0,L268-N268),"")</f>
        <v/>
      </c>
      <c r="Q268" s="50" t="str">
        <f>IF(AND(Creditos!$C$10&lt;&gt;"",Creditos!$M$10="OK",23&lt;=Creditos!$H$10),IF(AND(E268&lt;Supuestos!$D$6,P268&gt;0.005),Supuestos!$D$6-E268,0),"")</f>
        <v/>
      </c>
      <c r="R268" s="48" t="str">
        <f>IF(AND(Creditos!$C$10&lt;&gt;"",Creditos!$M$10="OK",23&lt;=Creditos!$H$10),MAX(0,N268-L268),"")</f>
        <v/>
      </c>
      <c r="S268" s="46" t="str">
        <f>IF(AND(Creditos!$C$10&lt;&gt;"",Creditos!$M$10="OK",23&lt;=Creditos!$H$10),IF(R268&gt;0.005,"Exceso sin imputar",IF(P268&lt;=0.005,"Pagada",IF(E268&lt;Supuestos!$D$6,"Vencida",IF(E268=Supuestos!$D$6,"Vence hoy","Por vencer")))),"")</f>
        <v/>
      </c>
      <c r="T268" s="46">
        <f>IF(AND(Creditos!$C$10&lt;&gt;"",Creditos!$M$10="OK",23&lt;=Creditos!$H$10),IF(P268&gt;0.005,E268,999999),999999)</f>
        <v>999999</v>
      </c>
    </row>
    <row r="269" ht="25.5" customHeight="1">
      <c r="C269" s="46" t="str">
        <f>IF(AND(Creditos!$C$10&lt;&gt;"",Creditos!$M$10="OK",24&lt;=Creditos!$H$10),Creditos!$C$10,"")</f>
        <v/>
      </c>
      <c r="D269" s="46" t="str">
        <f>IF(AND(Creditos!$C$10&lt;&gt;"",Creditos!$M$10="OK",24&lt;=Creditos!$H$10),24,"")</f>
        <v/>
      </c>
      <c r="E269" s="47" t="str">
        <f>IF(AND(Creditos!$C$10&lt;&gt;"",Creditos!$M$10="OK",24&lt;=Creditos!$H$10),EDATE(Creditos!$I$10,23),"")</f>
        <v/>
      </c>
      <c r="F269" s="48" t="str">
        <f>IF(AND(Creditos!$C$10&lt;&gt;"",Creditos!$M$10="OK",24&lt;=Creditos!$H$10),M268,"")</f>
        <v/>
      </c>
      <c r="G269" s="49" t="str">
        <f>IF(AND(Creditos!$C$10&lt;&gt;"",Creditos!$M$10="OK",24&lt;=Creditos!$H$10),Creditos!$N$10,"")</f>
        <v/>
      </c>
      <c r="H269" s="48" t="str">
        <f>IF(AND(Creditos!$C$10&lt;&gt;"",Creditos!$M$10="OK",24&lt;=Creditos!$H$10),ROUND(F269*G269,2),"")</f>
        <v/>
      </c>
      <c r="I269" s="48" t="str">
        <f>IF(AND(Creditos!$C$10&lt;&gt;"",Creditos!$M$10="OK",24&lt;=Creditos!$H$10),IF(24=Creditos!$H$10,F269+H269,MIN(Creditos!$O$10,F269+H269)),"")</f>
        <v/>
      </c>
      <c r="J269" s="48" t="str">
        <f>IF(AND(Creditos!$C$10&lt;&gt;"",Creditos!$M$10="OK",24&lt;=Creditos!$H$10),MIN(F269,MAX(0,I269-H269)),"")</f>
        <v/>
      </c>
      <c r="K269" s="48" t="str">
        <f>IF(AND(Creditos!$C$10&lt;&gt;"",Creditos!$M$10="OK",24&lt;=Creditos!$H$10),Creditos!$J$10+Creditos!$K$10,"")</f>
        <v/>
      </c>
      <c r="L269" s="48" t="str">
        <f>IF(AND(Creditos!$C$10&lt;&gt;"",Creditos!$M$10="OK",24&lt;=Creditos!$H$10),I269+K269,"")</f>
        <v/>
      </c>
      <c r="M269" s="48" t="str">
        <f>IF(AND(Creditos!$C$10&lt;&gt;"",Creditos!$M$10="OK",24&lt;=Creditos!$H$10),MAX(0,F269-J269),"")</f>
        <v/>
      </c>
      <c r="N269" s="48" t="str">
        <f>IF(AND(Creditos!$C$10&lt;&gt;"",Creditos!$M$10="OK",24&lt;=Creditos!$H$10),SUMIFS(Pagos!$F$6:$F$305,Pagos!$C$6:$C$305,C269,Pagos!$D$6:$D$305,D269,Pagos!$E$6:$E$305,"&lt;="&amp;Supuestos!$D$6,Pagos!$H$6:$H$305,"OK"),"")</f>
        <v/>
      </c>
      <c r="O269" s="48" t="str">
        <f>IF(AND(Creditos!$C$10&lt;&gt;"",Creditos!$M$10="OK",24&lt;=Creditos!$H$10),MIN(J269,MAX(0,N269-K269-H269)),"")</f>
        <v/>
      </c>
      <c r="P269" s="48" t="str">
        <f>IF(AND(Creditos!$C$10&lt;&gt;"",Creditos!$M$10="OK",24&lt;=Creditos!$H$10),MAX(0,L269-N269),"")</f>
        <v/>
      </c>
      <c r="Q269" s="50" t="str">
        <f>IF(AND(Creditos!$C$10&lt;&gt;"",Creditos!$M$10="OK",24&lt;=Creditos!$H$10),IF(AND(E269&lt;Supuestos!$D$6,P269&gt;0.005),Supuestos!$D$6-E269,0),"")</f>
        <v/>
      </c>
      <c r="R269" s="48" t="str">
        <f>IF(AND(Creditos!$C$10&lt;&gt;"",Creditos!$M$10="OK",24&lt;=Creditos!$H$10),MAX(0,N269-L269),"")</f>
        <v/>
      </c>
      <c r="S269" s="46" t="str">
        <f>IF(AND(Creditos!$C$10&lt;&gt;"",Creditos!$M$10="OK",24&lt;=Creditos!$H$10),IF(R269&gt;0.005,"Exceso sin imputar",IF(P269&lt;=0.005,"Pagada",IF(E269&lt;Supuestos!$D$6,"Vencida",IF(E269=Supuestos!$D$6,"Vence hoy","Por vencer")))),"")</f>
        <v/>
      </c>
      <c r="T269" s="46">
        <f>IF(AND(Creditos!$C$10&lt;&gt;"",Creditos!$M$10="OK",24&lt;=Creditos!$H$10),IF(P269&gt;0.005,E269,999999),999999)</f>
        <v>999999</v>
      </c>
    </row>
    <row r="270" ht="25.5" customHeight="1">
      <c r="C270" s="46" t="str">
        <f>IF(AND(Creditos!$C$10&lt;&gt;"",Creditos!$M$10="OK",25&lt;=Creditos!$H$10),Creditos!$C$10,"")</f>
        <v/>
      </c>
      <c r="D270" s="46" t="str">
        <f>IF(AND(Creditos!$C$10&lt;&gt;"",Creditos!$M$10="OK",25&lt;=Creditos!$H$10),25,"")</f>
        <v/>
      </c>
      <c r="E270" s="47" t="str">
        <f>IF(AND(Creditos!$C$10&lt;&gt;"",Creditos!$M$10="OK",25&lt;=Creditos!$H$10),EDATE(Creditos!$I$10,24),"")</f>
        <v/>
      </c>
      <c r="F270" s="48" t="str">
        <f>IF(AND(Creditos!$C$10&lt;&gt;"",Creditos!$M$10="OK",25&lt;=Creditos!$H$10),M269,"")</f>
        <v/>
      </c>
      <c r="G270" s="49" t="str">
        <f>IF(AND(Creditos!$C$10&lt;&gt;"",Creditos!$M$10="OK",25&lt;=Creditos!$H$10),Creditos!$N$10,"")</f>
        <v/>
      </c>
      <c r="H270" s="48" t="str">
        <f>IF(AND(Creditos!$C$10&lt;&gt;"",Creditos!$M$10="OK",25&lt;=Creditos!$H$10),ROUND(F270*G270,2),"")</f>
        <v/>
      </c>
      <c r="I270" s="48" t="str">
        <f>IF(AND(Creditos!$C$10&lt;&gt;"",Creditos!$M$10="OK",25&lt;=Creditos!$H$10),IF(25=Creditos!$H$10,F270+H270,MIN(Creditos!$O$10,F270+H270)),"")</f>
        <v/>
      </c>
      <c r="J270" s="48" t="str">
        <f>IF(AND(Creditos!$C$10&lt;&gt;"",Creditos!$M$10="OK",25&lt;=Creditos!$H$10),MIN(F270,MAX(0,I270-H270)),"")</f>
        <v/>
      </c>
      <c r="K270" s="48" t="str">
        <f>IF(AND(Creditos!$C$10&lt;&gt;"",Creditos!$M$10="OK",25&lt;=Creditos!$H$10),Creditos!$J$10+Creditos!$K$10,"")</f>
        <v/>
      </c>
      <c r="L270" s="48" t="str">
        <f>IF(AND(Creditos!$C$10&lt;&gt;"",Creditos!$M$10="OK",25&lt;=Creditos!$H$10),I270+K270,"")</f>
        <v/>
      </c>
      <c r="M270" s="48" t="str">
        <f>IF(AND(Creditos!$C$10&lt;&gt;"",Creditos!$M$10="OK",25&lt;=Creditos!$H$10),MAX(0,F270-J270),"")</f>
        <v/>
      </c>
      <c r="N270" s="48" t="str">
        <f>IF(AND(Creditos!$C$10&lt;&gt;"",Creditos!$M$10="OK",25&lt;=Creditos!$H$10),SUMIFS(Pagos!$F$6:$F$305,Pagos!$C$6:$C$305,C270,Pagos!$D$6:$D$305,D270,Pagos!$E$6:$E$305,"&lt;="&amp;Supuestos!$D$6,Pagos!$H$6:$H$305,"OK"),"")</f>
        <v/>
      </c>
      <c r="O270" s="48" t="str">
        <f>IF(AND(Creditos!$C$10&lt;&gt;"",Creditos!$M$10="OK",25&lt;=Creditos!$H$10),MIN(J270,MAX(0,N270-K270-H270)),"")</f>
        <v/>
      </c>
      <c r="P270" s="48" t="str">
        <f>IF(AND(Creditos!$C$10&lt;&gt;"",Creditos!$M$10="OK",25&lt;=Creditos!$H$10),MAX(0,L270-N270),"")</f>
        <v/>
      </c>
      <c r="Q270" s="50" t="str">
        <f>IF(AND(Creditos!$C$10&lt;&gt;"",Creditos!$M$10="OK",25&lt;=Creditos!$H$10),IF(AND(E270&lt;Supuestos!$D$6,P270&gt;0.005),Supuestos!$D$6-E270,0),"")</f>
        <v/>
      </c>
      <c r="R270" s="48" t="str">
        <f>IF(AND(Creditos!$C$10&lt;&gt;"",Creditos!$M$10="OK",25&lt;=Creditos!$H$10),MAX(0,N270-L270),"")</f>
        <v/>
      </c>
      <c r="S270" s="46" t="str">
        <f>IF(AND(Creditos!$C$10&lt;&gt;"",Creditos!$M$10="OK",25&lt;=Creditos!$H$10),IF(R270&gt;0.005,"Exceso sin imputar",IF(P270&lt;=0.005,"Pagada",IF(E270&lt;Supuestos!$D$6,"Vencida",IF(E270=Supuestos!$D$6,"Vence hoy","Por vencer")))),"")</f>
        <v/>
      </c>
      <c r="T270" s="46">
        <f>IF(AND(Creditos!$C$10&lt;&gt;"",Creditos!$M$10="OK",25&lt;=Creditos!$H$10),IF(P270&gt;0.005,E270,999999),999999)</f>
        <v>999999</v>
      </c>
    </row>
    <row r="271" ht="25.5" customHeight="1">
      <c r="C271" s="46" t="str">
        <f>IF(AND(Creditos!$C$10&lt;&gt;"",Creditos!$M$10="OK",26&lt;=Creditos!$H$10),Creditos!$C$10,"")</f>
        <v/>
      </c>
      <c r="D271" s="46" t="str">
        <f>IF(AND(Creditos!$C$10&lt;&gt;"",Creditos!$M$10="OK",26&lt;=Creditos!$H$10),26,"")</f>
        <v/>
      </c>
      <c r="E271" s="47" t="str">
        <f>IF(AND(Creditos!$C$10&lt;&gt;"",Creditos!$M$10="OK",26&lt;=Creditos!$H$10),EDATE(Creditos!$I$10,25),"")</f>
        <v/>
      </c>
      <c r="F271" s="48" t="str">
        <f>IF(AND(Creditos!$C$10&lt;&gt;"",Creditos!$M$10="OK",26&lt;=Creditos!$H$10),M270,"")</f>
        <v/>
      </c>
      <c r="G271" s="49" t="str">
        <f>IF(AND(Creditos!$C$10&lt;&gt;"",Creditos!$M$10="OK",26&lt;=Creditos!$H$10),Creditos!$N$10,"")</f>
        <v/>
      </c>
      <c r="H271" s="48" t="str">
        <f>IF(AND(Creditos!$C$10&lt;&gt;"",Creditos!$M$10="OK",26&lt;=Creditos!$H$10),ROUND(F271*G271,2),"")</f>
        <v/>
      </c>
      <c r="I271" s="48" t="str">
        <f>IF(AND(Creditos!$C$10&lt;&gt;"",Creditos!$M$10="OK",26&lt;=Creditos!$H$10),IF(26=Creditos!$H$10,F271+H271,MIN(Creditos!$O$10,F271+H271)),"")</f>
        <v/>
      </c>
      <c r="J271" s="48" t="str">
        <f>IF(AND(Creditos!$C$10&lt;&gt;"",Creditos!$M$10="OK",26&lt;=Creditos!$H$10),MIN(F271,MAX(0,I271-H271)),"")</f>
        <v/>
      </c>
      <c r="K271" s="48" t="str">
        <f>IF(AND(Creditos!$C$10&lt;&gt;"",Creditos!$M$10="OK",26&lt;=Creditos!$H$10),Creditos!$J$10+Creditos!$K$10,"")</f>
        <v/>
      </c>
      <c r="L271" s="48" t="str">
        <f>IF(AND(Creditos!$C$10&lt;&gt;"",Creditos!$M$10="OK",26&lt;=Creditos!$H$10),I271+K271,"")</f>
        <v/>
      </c>
      <c r="M271" s="48" t="str">
        <f>IF(AND(Creditos!$C$10&lt;&gt;"",Creditos!$M$10="OK",26&lt;=Creditos!$H$10),MAX(0,F271-J271),"")</f>
        <v/>
      </c>
      <c r="N271" s="48" t="str">
        <f>IF(AND(Creditos!$C$10&lt;&gt;"",Creditos!$M$10="OK",26&lt;=Creditos!$H$10),SUMIFS(Pagos!$F$6:$F$305,Pagos!$C$6:$C$305,C271,Pagos!$D$6:$D$305,D271,Pagos!$E$6:$E$305,"&lt;="&amp;Supuestos!$D$6,Pagos!$H$6:$H$305,"OK"),"")</f>
        <v/>
      </c>
      <c r="O271" s="48" t="str">
        <f>IF(AND(Creditos!$C$10&lt;&gt;"",Creditos!$M$10="OK",26&lt;=Creditos!$H$10),MIN(J271,MAX(0,N271-K271-H271)),"")</f>
        <v/>
      </c>
      <c r="P271" s="48" t="str">
        <f>IF(AND(Creditos!$C$10&lt;&gt;"",Creditos!$M$10="OK",26&lt;=Creditos!$H$10),MAX(0,L271-N271),"")</f>
        <v/>
      </c>
      <c r="Q271" s="50" t="str">
        <f>IF(AND(Creditos!$C$10&lt;&gt;"",Creditos!$M$10="OK",26&lt;=Creditos!$H$10),IF(AND(E271&lt;Supuestos!$D$6,P271&gt;0.005),Supuestos!$D$6-E271,0),"")</f>
        <v/>
      </c>
      <c r="R271" s="48" t="str">
        <f>IF(AND(Creditos!$C$10&lt;&gt;"",Creditos!$M$10="OK",26&lt;=Creditos!$H$10),MAX(0,N271-L271),"")</f>
        <v/>
      </c>
      <c r="S271" s="46" t="str">
        <f>IF(AND(Creditos!$C$10&lt;&gt;"",Creditos!$M$10="OK",26&lt;=Creditos!$H$10),IF(R271&gt;0.005,"Exceso sin imputar",IF(P271&lt;=0.005,"Pagada",IF(E271&lt;Supuestos!$D$6,"Vencida",IF(E271=Supuestos!$D$6,"Vence hoy","Por vencer")))),"")</f>
        <v/>
      </c>
      <c r="T271" s="46">
        <f>IF(AND(Creditos!$C$10&lt;&gt;"",Creditos!$M$10="OK",26&lt;=Creditos!$H$10),IF(P271&gt;0.005,E271,999999),999999)</f>
        <v>999999</v>
      </c>
    </row>
    <row r="272" ht="25.5" customHeight="1">
      <c r="C272" s="46" t="str">
        <f>IF(AND(Creditos!$C$10&lt;&gt;"",Creditos!$M$10="OK",27&lt;=Creditos!$H$10),Creditos!$C$10,"")</f>
        <v/>
      </c>
      <c r="D272" s="46" t="str">
        <f>IF(AND(Creditos!$C$10&lt;&gt;"",Creditos!$M$10="OK",27&lt;=Creditos!$H$10),27,"")</f>
        <v/>
      </c>
      <c r="E272" s="47" t="str">
        <f>IF(AND(Creditos!$C$10&lt;&gt;"",Creditos!$M$10="OK",27&lt;=Creditos!$H$10),EDATE(Creditos!$I$10,26),"")</f>
        <v/>
      </c>
      <c r="F272" s="48" t="str">
        <f>IF(AND(Creditos!$C$10&lt;&gt;"",Creditos!$M$10="OK",27&lt;=Creditos!$H$10),M271,"")</f>
        <v/>
      </c>
      <c r="G272" s="49" t="str">
        <f>IF(AND(Creditos!$C$10&lt;&gt;"",Creditos!$M$10="OK",27&lt;=Creditos!$H$10),Creditos!$N$10,"")</f>
        <v/>
      </c>
      <c r="H272" s="48" t="str">
        <f>IF(AND(Creditos!$C$10&lt;&gt;"",Creditos!$M$10="OK",27&lt;=Creditos!$H$10),ROUND(F272*G272,2),"")</f>
        <v/>
      </c>
      <c r="I272" s="48" t="str">
        <f>IF(AND(Creditos!$C$10&lt;&gt;"",Creditos!$M$10="OK",27&lt;=Creditos!$H$10),IF(27=Creditos!$H$10,F272+H272,MIN(Creditos!$O$10,F272+H272)),"")</f>
        <v/>
      </c>
      <c r="J272" s="48" t="str">
        <f>IF(AND(Creditos!$C$10&lt;&gt;"",Creditos!$M$10="OK",27&lt;=Creditos!$H$10),MIN(F272,MAX(0,I272-H272)),"")</f>
        <v/>
      </c>
      <c r="K272" s="48" t="str">
        <f>IF(AND(Creditos!$C$10&lt;&gt;"",Creditos!$M$10="OK",27&lt;=Creditos!$H$10),Creditos!$J$10+Creditos!$K$10,"")</f>
        <v/>
      </c>
      <c r="L272" s="48" t="str">
        <f>IF(AND(Creditos!$C$10&lt;&gt;"",Creditos!$M$10="OK",27&lt;=Creditos!$H$10),I272+K272,"")</f>
        <v/>
      </c>
      <c r="M272" s="48" t="str">
        <f>IF(AND(Creditos!$C$10&lt;&gt;"",Creditos!$M$10="OK",27&lt;=Creditos!$H$10),MAX(0,F272-J272),"")</f>
        <v/>
      </c>
      <c r="N272" s="48" t="str">
        <f>IF(AND(Creditos!$C$10&lt;&gt;"",Creditos!$M$10="OK",27&lt;=Creditos!$H$10),SUMIFS(Pagos!$F$6:$F$305,Pagos!$C$6:$C$305,C272,Pagos!$D$6:$D$305,D272,Pagos!$E$6:$E$305,"&lt;="&amp;Supuestos!$D$6,Pagos!$H$6:$H$305,"OK"),"")</f>
        <v/>
      </c>
      <c r="O272" s="48" t="str">
        <f>IF(AND(Creditos!$C$10&lt;&gt;"",Creditos!$M$10="OK",27&lt;=Creditos!$H$10),MIN(J272,MAX(0,N272-K272-H272)),"")</f>
        <v/>
      </c>
      <c r="P272" s="48" t="str">
        <f>IF(AND(Creditos!$C$10&lt;&gt;"",Creditos!$M$10="OK",27&lt;=Creditos!$H$10),MAX(0,L272-N272),"")</f>
        <v/>
      </c>
      <c r="Q272" s="50" t="str">
        <f>IF(AND(Creditos!$C$10&lt;&gt;"",Creditos!$M$10="OK",27&lt;=Creditos!$H$10),IF(AND(E272&lt;Supuestos!$D$6,P272&gt;0.005),Supuestos!$D$6-E272,0),"")</f>
        <v/>
      </c>
      <c r="R272" s="48" t="str">
        <f>IF(AND(Creditos!$C$10&lt;&gt;"",Creditos!$M$10="OK",27&lt;=Creditos!$H$10),MAX(0,N272-L272),"")</f>
        <v/>
      </c>
      <c r="S272" s="46" t="str">
        <f>IF(AND(Creditos!$C$10&lt;&gt;"",Creditos!$M$10="OK",27&lt;=Creditos!$H$10),IF(R272&gt;0.005,"Exceso sin imputar",IF(P272&lt;=0.005,"Pagada",IF(E272&lt;Supuestos!$D$6,"Vencida",IF(E272=Supuestos!$D$6,"Vence hoy","Por vencer")))),"")</f>
        <v/>
      </c>
      <c r="T272" s="46">
        <f>IF(AND(Creditos!$C$10&lt;&gt;"",Creditos!$M$10="OK",27&lt;=Creditos!$H$10),IF(P272&gt;0.005,E272,999999),999999)</f>
        <v>999999</v>
      </c>
    </row>
    <row r="273" ht="25.5" customHeight="1">
      <c r="C273" s="46" t="str">
        <f>IF(AND(Creditos!$C$10&lt;&gt;"",Creditos!$M$10="OK",28&lt;=Creditos!$H$10),Creditos!$C$10,"")</f>
        <v/>
      </c>
      <c r="D273" s="46" t="str">
        <f>IF(AND(Creditos!$C$10&lt;&gt;"",Creditos!$M$10="OK",28&lt;=Creditos!$H$10),28,"")</f>
        <v/>
      </c>
      <c r="E273" s="47" t="str">
        <f>IF(AND(Creditos!$C$10&lt;&gt;"",Creditos!$M$10="OK",28&lt;=Creditos!$H$10),EDATE(Creditos!$I$10,27),"")</f>
        <v/>
      </c>
      <c r="F273" s="48" t="str">
        <f>IF(AND(Creditos!$C$10&lt;&gt;"",Creditos!$M$10="OK",28&lt;=Creditos!$H$10),M272,"")</f>
        <v/>
      </c>
      <c r="G273" s="49" t="str">
        <f>IF(AND(Creditos!$C$10&lt;&gt;"",Creditos!$M$10="OK",28&lt;=Creditos!$H$10),Creditos!$N$10,"")</f>
        <v/>
      </c>
      <c r="H273" s="48" t="str">
        <f>IF(AND(Creditos!$C$10&lt;&gt;"",Creditos!$M$10="OK",28&lt;=Creditos!$H$10),ROUND(F273*G273,2),"")</f>
        <v/>
      </c>
      <c r="I273" s="48" t="str">
        <f>IF(AND(Creditos!$C$10&lt;&gt;"",Creditos!$M$10="OK",28&lt;=Creditos!$H$10),IF(28=Creditos!$H$10,F273+H273,MIN(Creditos!$O$10,F273+H273)),"")</f>
        <v/>
      </c>
      <c r="J273" s="48" t="str">
        <f>IF(AND(Creditos!$C$10&lt;&gt;"",Creditos!$M$10="OK",28&lt;=Creditos!$H$10),MIN(F273,MAX(0,I273-H273)),"")</f>
        <v/>
      </c>
      <c r="K273" s="48" t="str">
        <f>IF(AND(Creditos!$C$10&lt;&gt;"",Creditos!$M$10="OK",28&lt;=Creditos!$H$10),Creditos!$J$10+Creditos!$K$10,"")</f>
        <v/>
      </c>
      <c r="L273" s="48" t="str">
        <f>IF(AND(Creditos!$C$10&lt;&gt;"",Creditos!$M$10="OK",28&lt;=Creditos!$H$10),I273+K273,"")</f>
        <v/>
      </c>
      <c r="M273" s="48" t="str">
        <f>IF(AND(Creditos!$C$10&lt;&gt;"",Creditos!$M$10="OK",28&lt;=Creditos!$H$10),MAX(0,F273-J273),"")</f>
        <v/>
      </c>
      <c r="N273" s="48" t="str">
        <f>IF(AND(Creditos!$C$10&lt;&gt;"",Creditos!$M$10="OK",28&lt;=Creditos!$H$10),SUMIFS(Pagos!$F$6:$F$305,Pagos!$C$6:$C$305,C273,Pagos!$D$6:$D$305,D273,Pagos!$E$6:$E$305,"&lt;="&amp;Supuestos!$D$6,Pagos!$H$6:$H$305,"OK"),"")</f>
        <v/>
      </c>
      <c r="O273" s="48" t="str">
        <f>IF(AND(Creditos!$C$10&lt;&gt;"",Creditos!$M$10="OK",28&lt;=Creditos!$H$10),MIN(J273,MAX(0,N273-K273-H273)),"")</f>
        <v/>
      </c>
      <c r="P273" s="48" t="str">
        <f>IF(AND(Creditos!$C$10&lt;&gt;"",Creditos!$M$10="OK",28&lt;=Creditos!$H$10),MAX(0,L273-N273),"")</f>
        <v/>
      </c>
      <c r="Q273" s="50" t="str">
        <f>IF(AND(Creditos!$C$10&lt;&gt;"",Creditos!$M$10="OK",28&lt;=Creditos!$H$10),IF(AND(E273&lt;Supuestos!$D$6,P273&gt;0.005),Supuestos!$D$6-E273,0),"")</f>
        <v/>
      </c>
      <c r="R273" s="48" t="str">
        <f>IF(AND(Creditos!$C$10&lt;&gt;"",Creditos!$M$10="OK",28&lt;=Creditos!$H$10),MAX(0,N273-L273),"")</f>
        <v/>
      </c>
      <c r="S273" s="46" t="str">
        <f>IF(AND(Creditos!$C$10&lt;&gt;"",Creditos!$M$10="OK",28&lt;=Creditos!$H$10),IF(R273&gt;0.005,"Exceso sin imputar",IF(P273&lt;=0.005,"Pagada",IF(E273&lt;Supuestos!$D$6,"Vencida",IF(E273=Supuestos!$D$6,"Vence hoy","Por vencer")))),"")</f>
        <v/>
      </c>
      <c r="T273" s="46">
        <f>IF(AND(Creditos!$C$10&lt;&gt;"",Creditos!$M$10="OK",28&lt;=Creditos!$H$10),IF(P273&gt;0.005,E273,999999),999999)</f>
        <v>999999</v>
      </c>
    </row>
    <row r="274" ht="25.5" customHeight="1">
      <c r="C274" s="46" t="str">
        <f>IF(AND(Creditos!$C$10&lt;&gt;"",Creditos!$M$10="OK",29&lt;=Creditos!$H$10),Creditos!$C$10,"")</f>
        <v/>
      </c>
      <c r="D274" s="46" t="str">
        <f>IF(AND(Creditos!$C$10&lt;&gt;"",Creditos!$M$10="OK",29&lt;=Creditos!$H$10),29,"")</f>
        <v/>
      </c>
      <c r="E274" s="47" t="str">
        <f>IF(AND(Creditos!$C$10&lt;&gt;"",Creditos!$M$10="OK",29&lt;=Creditos!$H$10),EDATE(Creditos!$I$10,28),"")</f>
        <v/>
      </c>
      <c r="F274" s="48" t="str">
        <f>IF(AND(Creditos!$C$10&lt;&gt;"",Creditos!$M$10="OK",29&lt;=Creditos!$H$10),M273,"")</f>
        <v/>
      </c>
      <c r="G274" s="49" t="str">
        <f>IF(AND(Creditos!$C$10&lt;&gt;"",Creditos!$M$10="OK",29&lt;=Creditos!$H$10),Creditos!$N$10,"")</f>
        <v/>
      </c>
      <c r="H274" s="48" t="str">
        <f>IF(AND(Creditos!$C$10&lt;&gt;"",Creditos!$M$10="OK",29&lt;=Creditos!$H$10),ROUND(F274*G274,2),"")</f>
        <v/>
      </c>
      <c r="I274" s="48" t="str">
        <f>IF(AND(Creditos!$C$10&lt;&gt;"",Creditos!$M$10="OK",29&lt;=Creditos!$H$10),IF(29=Creditos!$H$10,F274+H274,MIN(Creditos!$O$10,F274+H274)),"")</f>
        <v/>
      </c>
      <c r="J274" s="48" t="str">
        <f>IF(AND(Creditos!$C$10&lt;&gt;"",Creditos!$M$10="OK",29&lt;=Creditos!$H$10),MIN(F274,MAX(0,I274-H274)),"")</f>
        <v/>
      </c>
      <c r="K274" s="48" t="str">
        <f>IF(AND(Creditos!$C$10&lt;&gt;"",Creditos!$M$10="OK",29&lt;=Creditos!$H$10),Creditos!$J$10+Creditos!$K$10,"")</f>
        <v/>
      </c>
      <c r="L274" s="48" t="str">
        <f>IF(AND(Creditos!$C$10&lt;&gt;"",Creditos!$M$10="OK",29&lt;=Creditos!$H$10),I274+K274,"")</f>
        <v/>
      </c>
      <c r="M274" s="48" t="str">
        <f>IF(AND(Creditos!$C$10&lt;&gt;"",Creditos!$M$10="OK",29&lt;=Creditos!$H$10),MAX(0,F274-J274),"")</f>
        <v/>
      </c>
      <c r="N274" s="48" t="str">
        <f>IF(AND(Creditos!$C$10&lt;&gt;"",Creditos!$M$10="OK",29&lt;=Creditos!$H$10),SUMIFS(Pagos!$F$6:$F$305,Pagos!$C$6:$C$305,C274,Pagos!$D$6:$D$305,D274,Pagos!$E$6:$E$305,"&lt;="&amp;Supuestos!$D$6,Pagos!$H$6:$H$305,"OK"),"")</f>
        <v/>
      </c>
      <c r="O274" s="48" t="str">
        <f>IF(AND(Creditos!$C$10&lt;&gt;"",Creditos!$M$10="OK",29&lt;=Creditos!$H$10),MIN(J274,MAX(0,N274-K274-H274)),"")</f>
        <v/>
      </c>
      <c r="P274" s="48" t="str">
        <f>IF(AND(Creditos!$C$10&lt;&gt;"",Creditos!$M$10="OK",29&lt;=Creditos!$H$10),MAX(0,L274-N274),"")</f>
        <v/>
      </c>
      <c r="Q274" s="50" t="str">
        <f>IF(AND(Creditos!$C$10&lt;&gt;"",Creditos!$M$10="OK",29&lt;=Creditos!$H$10),IF(AND(E274&lt;Supuestos!$D$6,P274&gt;0.005),Supuestos!$D$6-E274,0),"")</f>
        <v/>
      </c>
      <c r="R274" s="48" t="str">
        <f>IF(AND(Creditos!$C$10&lt;&gt;"",Creditos!$M$10="OK",29&lt;=Creditos!$H$10),MAX(0,N274-L274),"")</f>
        <v/>
      </c>
      <c r="S274" s="46" t="str">
        <f>IF(AND(Creditos!$C$10&lt;&gt;"",Creditos!$M$10="OK",29&lt;=Creditos!$H$10),IF(R274&gt;0.005,"Exceso sin imputar",IF(P274&lt;=0.005,"Pagada",IF(E274&lt;Supuestos!$D$6,"Vencida",IF(E274=Supuestos!$D$6,"Vence hoy","Por vencer")))),"")</f>
        <v/>
      </c>
      <c r="T274" s="46">
        <f>IF(AND(Creditos!$C$10&lt;&gt;"",Creditos!$M$10="OK",29&lt;=Creditos!$H$10),IF(P274&gt;0.005,E274,999999),999999)</f>
        <v>999999</v>
      </c>
    </row>
    <row r="275" ht="25.5" customHeight="1">
      <c r="C275" s="46" t="str">
        <f>IF(AND(Creditos!$C$10&lt;&gt;"",Creditos!$M$10="OK",30&lt;=Creditos!$H$10),Creditos!$C$10,"")</f>
        <v/>
      </c>
      <c r="D275" s="46" t="str">
        <f>IF(AND(Creditos!$C$10&lt;&gt;"",Creditos!$M$10="OK",30&lt;=Creditos!$H$10),30,"")</f>
        <v/>
      </c>
      <c r="E275" s="47" t="str">
        <f>IF(AND(Creditos!$C$10&lt;&gt;"",Creditos!$M$10="OK",30&lt;=Creditos!$H$10),EDATE(Creditos!$I$10,29),"")</f>
        <v/>
      </c>
      <c r="F275" s="48" t="str">
        <f>IF(AND(Creditos!$C$10&lt;&gt;"",Creditos!$M$10="OK",30&lt;=Creditos!$H$10),M274,"")</f>
        <v/>
      </c>
      <c r="G275" s="49" t="str">
        <f>IF(AND(Creditos!$C$10&lt;&gt;"",Creditos!$M$10="OK",30&lt;=Creditos!$H$10),Creditos!$N$10,"")</f>
        <v/>
      </c>
      <c r="H275" s="48" t="str">
        <f>IF(AND(Creditos!$C$10&lt;&gt;"",Creditos!$M$10="OK",30&lt;=Creditos!$H$10),ROUND(F275*G275,2),"")</f>
        <v/>
      </c>
      <c r="I275" s="48" t="str">
        <f>IF(AND(Creditos!$C$10&lt;&gt;"",Creditos!$M$10="OK",30&lt;=Creditos!$H$10),IF(30=Creditos!$H$10,F275+H275,MIN(Creditos!$O$10,F275+H275)),"")</f>
        <v/>
      </c>
      <c r="J275" s="48" t="str">
        <f>IF(AND(Creditos!$C$10&lt;&gt;"",Creditos!$M$10="OK",30&lt;=Creditos!$H$10),MIN(F275,MAX(0,I275-H275)),"")</f>
        <v/>
      </c>
      <c r="K275" s="48" t="str">
        <f>IF(AND(Creditos!$C$10&lt;&gt;"",Creditos!$M$10="OK",30&lt;=Creditos!$H$10),Creditos!$J$10+Creditos!$K$10,"")</f>
        <v/>
      </c>
      <c r="L275" s="48" t="str">
        <f>IF(AND(Creditos!$C$10&lt;&gt;"",Creditos!$M$10="OK",30&lt;=Creditos!$H$10),I275+K275,"")</f>
        <v/>
      </c>
      <c r="M275" s="48" t="str">
        <f>IF(AND(Creditos!$C$10&lt;&gt;"",Creditos!$M$10="OK",30&lt;=Creditos!$H$10),MAX(0,F275-J275),"")</f>
        <v/>
      </c>
      <c r="N275" s="48" t="str">
        <f>IF(AND(Creditos!$C$10&lt;&gt;"",Creditos!$M$10="OK",30&lt;=Creditos!$H$10),SUMIFS(Pagos!$F$6:$F$305,Pagos!$C$6:$C$305,C275,Pagos!$D$6:$D$305,D275,Pagos!$E$6:$E$305,"&lt;="&amp;Supuestos!$D$6,Pagos!$H$6:$H$305,"OK"),"")</f>
        <v/>
      </c>
      <c r="O275" s="48" t="str">
        <f>IF(AND(Creditos!$C$10&lt;&gt;"",Creditos!$M$10="OK",30&lt;=Creditos!$H$10),MIN(J275,MAX(0,N275-K275-H275)),"")</f>
        <v/>
      </c>
      <c r="P275" s="48" t="str">
        <f>IF(AND(Creditos!$C$10&lt;&gt;"",Creditos!$M$10="OK",30&lt;=Creditos!$H$10),MAX(0,L275-N275),"")</f>
        <v/>
      </c>
      <c r="Q275" s="50" t="str">
        <f>IF(AND(Creditos!$C$10&lt;&gt;"",Creditos!$M$10="OK",30&lt;=Creditos!$H$10),IF(AND(E275&lt;Supuestos!$D$6,P275&gt;0.005),Supuestos!$D$6-E275,0),"")</f>
        <v/>
      </c>
      <c r="R275" s="48" t="str">
        <f>IF(AND(Creditos!$C$10&lt;&gt;"",Creditos!$M$10="OK",30&lt;=Creditos!$H$10),MAX(0,N275-L275),"")</f>
        <v/>
      </c>
      <c r="S275" s="46" t="str">
        <f>IF(AND(Creditos!$C$10&lt;&gt;"",Creditos!$M$10="OK",30&lt;=Creditos!$H$10),IF(R275&gt;0.005,"Exceso sin imputar",IF(P275&lt;=0.005,"Pagada",IF(E275&lt;Supuestos!$D$6,"Vencida",IF(E275=Supuestos!$D$6,"Vence hoy","Por vencer")))),"")</f>
        <v/>
      </c>
      <c r="T275" s="46">
        <f>IF(AND(Creditos!$C$10&lt;&gt;"",Creditos!$M$10="OK",30&lt;=Creditos!$H$10),IF(P275&gt;0.005,E275,999999),999999)</f>
        <v>999999</v>
      </c>
    </row>
    <row r="276" ht="25.5" customHeight="1">
      <c r="C276" s="46" t="str">
        <f>IF(AND(Creditos!$C$10&lt;&gt;"",Creditos!$M$10="OK",31&lt;=Creditos!$H$10),Creditos!$C$10,"")</f>
        <v/>
      </c>
      <c r="D276" s="46" t="str">
        <f>IF(AND(Creditos!$C$10&lt;&gt;"",Creditos!$M$10="OK",31&lt;=Creditos!$H$10),31,"")</f>
        <v/>
      </c>
      <c r="E276" s="47" t="str">
        <f>IF(AND(Creditos!$C$10&lt;&gt;"",Creditos!$M$10="OK",31&lt;=Creditos!$H$10),EDATE(Creditos!$I$10,30),"")</f>
        <v/>
      </c>
      <c r="F276" s="48" t="str">
        <f>IF(AND(Creditos!$C$10&lt;&gt;"",Creditos!$M$10="OK",31&lt;=Creditos!$H$10),M275,"")</f>
        <v/>
      </c>
      <c r="G276" s="49" t="str">
        <f>IF(AND(Creditos!$C$10&lt;&gt;"",Creditos!$M$10="OK",31&lt;=Creditos!$H$10),Creditos!$N$10,"")</f>
        <v/>
      </c>
      <c r="H276" s="48" t="str">
        <f>IF(AND(Creditos!$C$10&lt;&gt;"",Creditos!$M$10="OK",31&lt;=Creditos!$H$10),ROUND(F276*G276,2),"")</f>
        <v/>
      </c>
      <c r="I276" s="48" t="str">
        <f>IF(AND(Creditos!$C$10&lt;&gt;"",Creditos!$M$10="OK",31&lt;=Creditos!$H$10),IF(31=Creditos!$H$10,F276+H276,MIN(Creditos!$O$10,F276+H276)),"")</f>
        <v/>
      </c>
      <c r="J276" s="48" t="str">
        <f>IF(AND(Creditos!$C$10&lt;&gt;"",Creditos!$M$10="OK",31&lt;=Creditos!$H$10),MIN(F276,MAX(0,I276-H276)),"")</f>
        <v/>
      </c>
      <c r="K276" s="48" t="str">
        <f>IF(AND(Creditos!$C$10&lt;&gt;"",Creditos!$M$10="OK",31&lt;=Creditos!$H$10),Creditos!$J$10+Creditos!$K$10,"")</f>
        <v/>
      </c>
      <c r="L276" s="48" t="str">
        <f>IF(AND(Creditos!$C$10&lt;&gt;"",Creditos!$M$10="OK",31&lt;=Creditos!$H$10),I276+K276,"")</f>
        <v/>
      </c>
      <c r="M276" s="48" t="str">
        <f>IF(AND(Creditos!$C$10&lt;&gt;"",Creditos!$M$10="OK",31&lt;=Creditos!$H$10),MAX(0,F276-J276),"")</f>
        <v/>
      </c>
      <c r="N276" s="48" t="str">
        <f>IF(AND(Creditos!$C$10&lt;&gt;"",Creditos!$M$10="OK",31&lt;=Creditos!$H$10),SUMIFS(Pagos!$F$6:$F$305,Pagos!$C$6:$C$305,C276,Pagos!$D$6:$D$305,D276,Pagos!$E$6:$E$305,"&lt;="&amp;Supuestos!$D$6,Pagos!$H$6:$H$305,"OK"),"")</f>
        <v/>
      </c>
      <c r="O276" s="48" t="str">
        <f>IF(AND(Creditos!$C$10&lt;&gt;"",Creditos!$M$10="OK",31&lt;=Creditos!$H$10),MIN(J276,MAX(0,N276-K276-H276)),"")</f>
        <v/>
      </c>
      <c r="P276" s="48" t="str">
        <f>IF(AND(Creditos!$C$10&lt;&gt;"",Creditos!$M$10="OK",31&lt;=Creditos!$H$10),MAX(0,L276-N276),"")</f>
        <v/>
      </c>
      <c r="Q276" s="50" t="str">
        <f>IF(AND(Creditos!$C$10&lt;&gt;"",Creditos!$M$10="OK",31&lt;=Creditos!$H$10),IF(AND(E276&lt;Supuestos!$D$6,P276&gt;0.005),Supuestos!$D$6-E276,0),"")</f>
        <v/>
      </c>
      <c r="R276" s="48" t="str">
        <f>IF(AND(Creditos!$C$10&lt;&gt;"",Creditos!$M$10="OK",31&lt;=Creditos!$H$10),MAX(0,N276-L276),"")</f>
        <v/>
      </c>
      <c r="S276" s="46" t="str">
        <f>IF(AND(Creditos!$C$10&lt;&gt;"",Creditos!$M$10="OK",31&lt;=Creditos!$H$10),IF(R276&gt;0.005,"Exceso sin imputar",IF(P276&lt;=0.005,"Pagada",IF(E276&lt;Supuestos!$D$6,"Vencida",IF(E276=Supuestos!$D$6,"Vence hoy","Por vencer")))),"")</f>
        <v/>
      </c>
      <c r="T276" s="46">
        <f>IF(AND(Creditos!$C$10&lt;&gt;"",Creditos!$M$10="OK",31&lt;=Creditos!$H$10),IF(P276&gt;0.005,E276,999999),999999)</f>
        <v>999999</v>
      </c>
    </row>
    <row r="277" ht="25.5" customHeight="1">
      <c r="C277" s="46" t="str">
        <f>IF(AND(Creditos!$C$10&lt;&gt;"",Creditos!$M$10="OK",32&lt;=Creditos!$H$10),Creditos!$C$10,"")</f>
        <v/>
      </c>
      <c r="D277" s="46" t="str">
        <f>IF(AND(Creditos!$C$10&lt;&gt;"",Creditos!$M$10="OK",32&lt;=Creditos!$H$10),32,"")</f>
        <v/>
      </c>
      <c r="E277" s="47" t="str">
        <f>IF(AND(Creditos!$C$10&lt;&gt;"",Creditos!$M$10="OK",32&lt;=Creditos!$H$10),EDATE(Creditos!$I$10,31),"")</f>
        <v/>
      </c>
      <c r="F277" s="48" t="str">
        <f>IF(AND(Creditos!$C$10&lt;&gt;"",Creditos!$M$10="OK",32&lt;=Creditos!$H$10),M276,"")</f>
        <v/>
      </c>
      <c r="G277" s="49" t="str">
        <f>IF(AND(Creditos!$C$10&lt;&gt;"",Creditos!$M$10="OK",32&lt;=Creditos!$H$10),Creditos!$N$10,"")</f>
        <v/>
      </c>
      <c r="H277" s="48" t="str">
        <f>IF(AND(Creditos!$C$10&lt;&gt;"",Creditos!$M$10="OK",32&lt;=Creditos!$H$10),ROUND(F277*G277,2),"")</f>
        <v/>
      </c>
      <c r="I277" s="48" t="str">
        <f>IF(AND(Creditos!$C$10&lt;&gt;"",Creditos!$M$10="OK",32&lt;=Creditos!$H$10),IF(32=Creditos!$H$10,F277+H277,MIN(Creditos!$O$10,F277+H277)),"")</f>
        <v/>
      </c>
      <c r="J277" s="48" t="str">
        <f>IF(AND(Creditos!$C$10&lt;&gt;"",Creditos!$M$10="OK",32&lt;=Creditos!$H$10),MIN(F277,MAX(0,I277-H277)),"")</f>
        <v/>
      </c>
      <c r="K277" s="48" t="str">
        <f>IF(AND(Creditos!$C$10&lt;&gt;"",Creditos!$M$10="OK",32&lt;=Creditos!$H$10),Creditos!$J$10+Creditos!$K$10,"")</f>
        <v/>
      </c>
      <c r="L277" s="48" t="str">
        <f>IF(AND(Creditos!$C$10&lt;&gt;"",Creditos!$M$10="OK",32&lt;=Creditos!$H$10),I277+K277,"")</f>
        <v/>
      </c>
      <c r="M277" s="48" t="str">
        <f>IF(AND(Creditos!$C$10&lt;&gt;"",Creditos!$M$10="OK",32&lt;=Creditos!$H$10),MAX(0,F277-J277),"")</f>
        <v/>
      </c>
      <c r="N277" s="48" t="str">
        <f>IF(AND(Creditos!$C$10&lt;&gt;"",Creditos!$M$10="OK",32&lt;=Creditos!$H$10),SUMIFS(Pagos!$F$6:$F$305,Pagos!$C$6:$C$305,C277,Pagos!$D$6:$D$305,D277,Pagos!$E$6:$E$305,"&lt;="&amp;Supuestos!$D$6,Pagos!$H$6:$H$305,"OK"),"")</f>
        <v/>
      </c>
      <c r="O277" s="48" t="str">
        <f>IF(AND(Creditos!$C$10&lt;&gt;"",Creditos!$M$10="OK",32&lt;=Creditos!$H$10),MIN(J277,MAX(0,N277-K277-H277)),"")</f>
        <v/>
      </c>
      <c r="P277" s="48" t="str">
        <f>IF(AND(Creditos!$C$10&lt;&gt;"",Creditos!$M$10="OK",32&lt;=Creditos!$H$10),MAX(0,L277-N277),"")</f>
        <v/>
      </c>
      <c r="Q277" s="50" t="str">
        <f>IF(AND(Creditos!$C$10&lt;&gt;"",Creditos!$M$10="OK",32&lt;=Creditos!$H$10),IF(AND(E277&lt;Supuestos!$D$6,P277&gt;0.005),Supuestos!$D$6-E277,0),"")</f>
        <v/>
      </c>
      <c r="R277" s="48" t="str">
        <f>IF(AND(Creditos!$C$10&lt;&gt;"",Creditos!$M$10="OK",32&lt;=Creditos!$H$10),MAX(0,N277-L277),"")</f>
        <v/>
      </c>
      <c r="S277" s="46" t="str">
        <f>IF(AND(Creditos!$C$10&lt;&gt;"",Creditos!$M$10="OK",32&lt;=Creditos!$H$10),IF(R277&gt;0.005,"Exceso sin imputar",IF(P277&lt;=0.005,"Pagada",IF(E277&lt;Supuestos!$D$6,"Vencida",IF(E277=Supuestos!$D$6,"Vence hoy","Por vencer")))),"")</f>
        <v/>
      </c>
      <c r="T277" s="46">
        <f>IF(AND(Creditos!$C$10&lt;&gt;"",Creditos!$M$10="OK",32&lt;=Creditos!$H$10),IF(P277&gt;0.005,E277,999999),999999)</f>
        <v>999999</v>
      </c>
    </row>
    <row r="278" ht="25.5" customHeight="1">
      <c r="C278" s="46" t="str">
        <f>IF(AND(Creditos!$C$10&lt;&gt;"",Creditos!$M$10="OK",33&lt;=Creditos!$H$10),Creditos!$C$10,"")</f>
        <v/>
      </c>
      <c r="D278" s="46" t="str">
        <f>IF(AND(Creditos!$C$10&lt;&gt;"",Creditos!$M$10="OK",33&lt;=Creditos!$H$10),33,"")</f>
        <v/>
      </c>
      <c r="E278" s="47" t="str">
        <f>IF(AND(Creditos!$C$10&lt;&gt;"",Creditos!$M$10="OK",33&lt;=Creditos!$H$10),EDATE(Creditos!$I$10,32),"")</f>
        <v/>
      </c>
      <c r="F278" s="48" t="str">
        <f>IF(AND(Creditos!$C$10&lt;&gt;"",Creditos!$M$10="OK",33&lt;=Creditos!$H$10),M277,"")</f>
        <v/>
      </c>
      <c r="G278" s="49" t="str">
        <f>IF(AND(Creditos!$C$10&lt;&gt;"",Creditos!$M$10="OK",33&lt;=Creditos!$H$10),Creditos!$N$10,"")</f>
        <v/>
      </c>
      <c r="H278" s="48" t="str">
        <f>IF(AND(Creditos!$C$10&lt;&gt;"",Creditos!$M$10="OK",33&lt;=Creditos!$H$10),ROUND(F278*G278,2),"")</f>
        <v/>
      </c>
      <c r="I278" s="48" t="str">
        <f>IF(AND(Creditos!$C$10&lt;&gt;"",Creditos!$M$10="OK",33&lt;=Creditos!$H$10),IF(33=Creditos!$H$10,F278+H278,MIN(Creditos!$O$10,F278+H278)),"")</f>
        <v/>
      </c>
      <c r="J278" s="48" t="str">
        <f>IF(AND(Creditos!$C$10&lt;&gt;"",Creditos!$M$10="OK",33&lt;=Creditos!$H$10),MIN(F278,MAX(0,I278-H278)),"")</f>
        <v/>
      </c>
      <c r="K278" s="48" t="str">
        <f>IF(AND(Creditos!$C$10&lt;&gt;"",Creditos!$M$10="OK",33&lt;=Creditos!$H$10),Creditos!$J$10+Creditos!$K$10,"")</f>
        <v/>
      </c>
      <c r="L278" s="48" t="str">
        <f>IF(AND(Creditos!$C$10&lt;&gt;"",Creditos!$M$10="OK",33&lt;=Creditos!$H$10),I278+K278,"")</f>
        <v/>
      </c>
      <c r="M278" s="48" t="str">
        <f>IF(AND(Creditos!$C$10&lt;&gt;"",Creditos!$M$10="OK",33&lt;=Creditos!$H$10),MAX(0,F278-J278),"")</f>
        <v/>
      </c>
      <c r="N278" s="48" t="str">
        <f>IF(AND(Creditos!$C$10&lt;&gt;"",Creditos!$M$10="OK",33&lt;=Creditos!$H$10),SUMIFS(Pagos!$F$6:$F$305,Pagos!$C$6:$C$305,C278,Pagos!$D$6:$D$305,D278,Pagos!$E$6:$E$305,"&lt;="&amp;Supuestos!$D$6,Pagos!$H$6:$H$305,"OK"),"")</f>
        <v/>
      </c>
      <c r="O278" s="48" t="str">
        <f>IF(AND(Creditos!$C$10&lt;&gt;"",Creditos!$M$10="OK",33&lt;=Creditos!$H$10),MIN(J278,MAX(0,N278-K278-H278)),"")</f>
        <v/>
      </c>
      <c r="P278" s="48" t="str">
        <f>IF(AND(Creditos!$C$10&lt;&gt;"",Creditos!$M$10="OK",33&lt;=Creditos!$H$10),MAX(0,L278-N278),"")</f>
        <v/>
      </c>
      <c r="Q278" s="50" t="str">
        <f>IF(AND(Creditos!$C$10&lt;&gt;"",Creditos!$M$10="OK",33&lt;=Creditos!$H$10),IF(AND(E278&lt;Supuestos!$D$6,P278&gt;0.005),Supuestos!$D$6-E278,0),"")</f>
        <v/>
      </c>
      <c r="R278" s="48" t="str">
        <f>IF(AND(Creditos!$C$10&lt;&gt;"",Creditos!$M$10="OK",33&lt;=Creditos!$H$10),MAX(0,N278-L278),"")</f>
        <v/>
      </c>
      <c r="S278" s="46" t="str">
        <f>IF(AND(Creditos!$C$10&lt;&gt;"",Creditos!$M$10="OK",33&lt;=Creditos!$H$10),IF(R278&gt;0.005,"Exceso sin imputar",IF(P278&lt;=0.005,"Pagada",IF(E278&lt;Supuestos!$D$6,"Vencida",IF(E278=Supuestos!$D$6,"Vence hoy","Por vencer")))),"")</f>
        <v/>
      </c>
      <c r="T278" s="46">
        <f>IF(AND(Creditos!$C$10&lt;&gt;"",Creditos!$M$10="OK",33&lt;=Creditos!$H$10),IF(P278&gt;0.005,E278,999999),999999)</f>
        <v>999999</v>
      </c>
    </row>
    <row r="279" ht="25.5" customHeight="1">
      <c r="C279" s="46" t="str">
        <f>IF(AND(Creditos!$C$10&lt;&gt;"",Creditos!$M$10="OK",34&lt;=Creditos!$H$10),Creditos!$C$10,"")</f>
        <v/>
      </c>
      <c r="D279" s="46" t="str">
        <f>IF(AND(Creditos!$C$10&lt;&gt;"",Creditos!$M$10="OK",34&lt;=Creditos!$H$10),34,"")</f>
        <v/>
      </c>
      <c r="E279" s="47" t="str">
        <f>IF(AND(Creditos!$C$10&lt;&gt;"",Creditos!$M$10="OK",34&lt;=Creditos!$H$10),EDATE(Creditos!$I$10,33),"")</f>
        <v/>
      </c>
      <c r="F279" s="48" t="str">
        <f>IF(AND(Creditos!$C$10&lt;&gt;"",Creditos!$M$10="OK",34&lt;=Creditos!$H$10),M278,"")</f>
        <v/>
      </c>
      <c r="G279" s="49" t="str">
        <f>IF(AND(Creditos!$C$10&lt;&gt;"",Creditos!$M$10="OK",34&lt;=Creditos!$H$10),Creditos!$N$10,"")</f>
        <v/>
      </c>
      <c r="H279" s="48" t="str">
        <f>IF(AND(Creditos!$C$10&lt;&gt;"",Creditos!$M$10="OK",34&lt;=Creditos!$H$10),ROUND(F279*G279,2),"")</f>
        <v/>
      </c>
      <c r="I279" s="48" t="str">
        <f>IF(AND(Creditos!$C$10&lt;&gt;"",Creditos!$M$10="OK",34&lt;=Creditos!$H$10),IF(34=Creditos!$H$10,F279+H279,MIN(Creditos!$O$10,F279+H279)),"")</f>
        <v/>
      </c>
      <c r="J279" s="48" t="str">
        <f>IF(AND(Creditos!$C$10&lt;&gt;"",Creditos!$M$10="OK",34&lt;=Creditos!$H$10),MIN(F279,MAX(0,I279-H279)),"")</f>
        <v/>
      </c>
      <c r="K279" s="48" t="str">
        <f>IF(AND(Creditos!$C$10&lt;&gt;"",Creditos!$M$10="OK",34&lt;=Creditos!$H$10),Creditos!$J$10+Creditos!$K$10,"")</f>
        <v/>
      </c>
      <c r="L279" s="48" t="str">
        <f>IF(AND(Creditos!$C$10&lt;&gt;"",Creditos!$M$10="OK",34&lt;=Creditos!$H$10),I279+K279,"")</f>
        <v/>
      </c>
      <c r="M279" s="48" t="str">
        <f>IF(AND(Creditos!$C$10&lt;&gt;"",Creditos!$M$10="OK",34&lt;=Creditos!$H$10),MAX(0,F279-J279),"")</f>
        <v/>
      </c>
      <c r="N279" s="48" t="str">
        <f>IF(AND(Creditos!$C$10&lt;&gt;"",Creditos!$M$10="OK",34&lt;=Creditos!$H$10),SUMIFS(Pagos!$F$6:$F$305,Pagos!$C$6:$C$305,C279,Pagos!$D$6:$D$305,D279,Pagos!$E$6:$E$305,"&lt;="&amp;Supuestos!$D$6,Pagos!$H$6:$H$305,"OK"),"")</f>
        <v/>
      </c>
      <c r="O279" s="48" t="str">
        <f>IF(AND(Creditos!$C$10&lt;&gt;"",Creditos!$M$10="OK",34&lt;=Creditos!$H$10),MIN(J279,MAX(0,N279-K279-H279)),"")</f>
        <v/>
      </c>
      <c r="P279" s="48" t="str">
        <f>IF(AND(Creditos!$C$10&lt;&gt;"",Creditos!$M$10="OK",34&lt;=Creditos!$H$10),MAX(0,L279-N279),"")</f>
        <v/>
      </c>
      <c r="Q279" s="50" t="str">
        <f>IF(AND(Creditos!$C$10&lt;&gt;"",Creditos!$M$10="OK",34&lt;=Creditos!$H$10),IF(AND(E279&lt;Supuestos!$D$6,P279&gt;0.005),Supuestos!$D$6-E279,0),"")</f>
        <v/>
      </c>
      <c r="R279" s="48" t="str">
        <f>IF(AND(Creditos!$C$10&lt;&gt;"",Creditos!$M$10="OK",34&lt;=Creditos!$H$10),MAX(0,N279-L279),"")</f>
        <v/>
      </c>
      <c r="S279" s="46" t="str">
        <f>IF(AND(Creditos!$C$10&lt;&gt;"",Creditos!$M$10="OK",34&lt;=Creditos!$H$10),IF(R279&gt;0.005,"Exceso sin imputar",IF(P279&lt;=0.005,"Pagada",IF(E279&lt;Supuestos!$D$6,"Vencida",IF(E279=Supuestos!$D$6,"Vence hoy","Por vencer")))),"")</f>
        <v/>
      </c>
      <c r="T279" s="46">
        <f>IF(AND(Creditos!$C$10&lt;&gt;"",Creditos!$M$10="OK",34&lt;=Creditos!$H$10),IF(P279&gt;0.005,E279,999999),999999)</f>
        <v>999999</v>
      </c>
    </row>
    <row r="280" ht="25.5" customHeight="1">
      <c r="C280" s="46" t="str">
        <f>IF(AND(Creditos!$C$10&lt;&gt;"",Creditos!$M$10="OK",35&lt;=Creditos!$H$10),Creditos!$C$10,"")</f>
        <v/>
      </c>
      <c r="D280" s="46" t="str">
        <f>IF(AND(Creditos!$C$10&lt;&gt;"",Creditos!$M$10="OK",35&lt;=Creditos!$H$10),35,"")</f>
        <v/>
      </c>
      <c r="E280" s="47" t="str">
        <f>IF(AND(Creditos!$C$10&lt;&gt;"",Creditos!$M$10="OK",35&lt;=Creditos!$H$10),EDATE(Creditos!$I$10,34),"")</f>
        <v/>
      </c>
      <c r="F280" s="48" t="str">
        <f>IF(AND(Creditos!$C$10&lt;&gt;"",Creditos!$M$10="OK",35&lt;=Creditos!$H$10),M279,"")</f>
        <v/>
      </c>
      <c r="G280" s="49" t="str">
        <f>IF(AND(Creditos!$C$10&lt;&gt;"",Creditos!$M$10="OK",35&lt;=Creditos!$H$10),Creditos!$N$10,"")</f>
        <v/>
      </c>
      <c r="H280" s="48" t="str">
        <f>IF(AND(Creditos!$C$10&lt;&gt;"",Creditos!$M$10="OK",35&lt;=Creditos!$H$10),ROUND(F280*G280,2),"")</f>
        <v/>
      </c>
      <c r="I280" s="48" t="str">
        <f>IF(AND(Creditos!$C$10&lt;&gt;"",Creditos!$M$10="OK",35&lt;=Creditos!$H$10),IF(35=Creditos!$H$10,F280+H280,MIN(Creditos!$O$10,F280+H280)),"")</f>
        <v/>
      </c>
      <c r="J280" s="48" t="str">
        <f>IF(AND(Creditos!$C$10&lt;&gt;"",Creditos!$M$10="OK",35&lt;=Creditos!$H$10),MIN(F280,MAX(0,I280-H280)),"")</f>
        <v/>
      </c>
      <c r="K280" s="48" t="str">
        <f>IF(AND(Creditos!$C$10&lt;&gt;"",Creditos!$M$10="OK",35&lt;=Creditos!$H$10),Creditos!$J$10+Creditos!$K$10,"")</f>
        <v/>
      </c>
      <c r="L280" s="48" t="str">
        <f>IF(AND(Creditos!$C$10&lt;&gt;"",Creditos!$M$10="OK",35&lt;=Creditos!$H$10),I280+K280,"")</f>
        <v/>
      </c>
      <c r="M280" s="48" t="str">
        <f>IF(AND(Creditos!$C$10&lt;&gt;"",Creditos!$M$10="OK",35&lt;=Creditos!$H$10),MAX(0,F280-J280),"")</f>
        <v/>
      </c>
      <c r="N280" s="48" t="str">
        <f>IF(AND(Creditos!$C$10&lt;&gt;"",Creditos!$M$10="OK",35&lt;=Creditos!$H$10),SUMIFS(Pagos!$F$6:$F$305,Pagos!$C$6:$C$305,C280,Pagos!$D$6:$D$305,D280,Pagos!$E$6:$E$305,"&lt;="&amp;Supuestos!$D$6,Pagos!$H$6:$H$305,"OK"),"")</f>
        <v/>
      </c>
      <c r="O280" s="48" t="str">
        <f>IF(AND(Creditos!$C$10&lt;&gt;"",Creditos!$M$10="OK",35&lt;=Creditos!$H$10),MIN(J280,MAX(0,N280-K280-H280)),"")</f>
        <v/>
      </c>
      <c r="P280" s="48" t="str">
        <f>IF(AND(Creditos!$C$10&lt;&gt;"",Creditos!$M$10="OK",35&lt;=Creditos!$H$10),MAX(0,L280-N280),"")</f>
        <v/>
      </c>
      <c r="Q280" s="50" t="str">
        <f>IF(AND(Creditos!$C$10&lt;&gt;"",Creditos!$M$10="OK",35&lt;=Creditos!$H$10),IF(AND(E280&lt;Supuestos!$D$6,P280&gt;0.005),Supuestos!$D$6-E280,0),"")</f>
        <v/>
      </c>
      <c r="R280" s="48" t="str">
        <f>IF(AND(Creditos!$C$10&lt;&gt;"",Creditos!$M$10="OK",35&lt;=Creditos!$H$10),MAX(0,N280-L280),"")</f>
        <v/>
      </c>
      <c r="S280" s="46" t="str">
        <f>IF(AND(Creditos!$C$10&lt;&gt;"",Creditos!$M$10="OK",35&lt;=Creditos!$H$10),IF(R280&gt;0.005,"Exceso sin imputar",IF(P280&lt;=0.005,"Pagada",IF(E280&lt;Supuestos!$D$6,"Vencida",IF(E280=Supuestos!$D$6,"Vence hoy","Por vencer")))),"")</f>
        <v/>
      </c>
      <c r="T280" s="46">
        <f>IF(AND(Creditos!$C$10&lt;&gt;"",Creditos!$M$10="OK",35&lt;=Creditos!$H$10),IF(P280&gt;0.005,E280,999999),999999)</f>
        <v>999999</v>
      </c>
    </row>
    <row r="281" ht="25.5" customHeight="1">
      <c r="C281" s="46" t="str">
        <f>IF(AND(Creditos!$C$10&lt;&gt;"",Creditos!$M$10="OK",36&lt;=Creditos!$H$10),Creditos!$C$10,"")</f>
        <v/>
      </c>
      <c r="D281" s="46" t="str">
        <f>IF(AND(Creditos!$C$10&lt;&gt;"",Creditos!$M$10="OK",36&lt;=Creditos!$H$10),36,"")</f>
        <v/>
      </c>
      <c r="E281" s="47" t="str">
        <f>IF(AND(Creditos!$C$10&lt;&gt;"",Creditos!$M$10="OK",36&lt;=Creditos!$H$10),EDATE(Creditos!$I$10,35),"")</f>
        <v/>
      </c>
      <c r="F281" s="48" t="str">
        <f>IF(AND(Creditos!$C$10&lt;&gt;"",Creditos!$M$10="OK",36&lt;=Creditos!$H$10),M280,"")</f>
        <v/>
      </c>
      <c r="G281" s="49" t="str">
        <f>IF(AND(Creditos!$C$10&lt;&gt;"",Creditos!$M$10="OK",36&lt;=Creditos!$H$10),Creditos!$N$10,"")</f>
        <v/>
      </c>
      <c r="H281" s="48" t="str">
        <f>IF(AND(Creditos!$C$10&lt;&gt;"",Creditos!$M$10="OK",36&lt;=Creditos!$H$10),ROUND(F281*G281,2),"")</f>
        <v/>
      </c>
      <c r="I281" s="48" t="str">
        <f>IF(AND(Creditos!$C$10&lt;&gt;"",Creditos!$M$10="OK",36&lt;=Creditos!$H$10),IF(36=Creditos!$H$10,F281+H281,MIN(Creditos!$O$10,F281+H281)),"")</f>
        <v/>
      </c>
      <c r="J281" s="48" t="str">
        <f>IF(AND(Creditos!$C$10&lt;&gt;"",Creditos!$M$10="OK",36&lt;=Creditos!$H$10),MIN(F281,MAX(0,I281-H281)),"")</f>
        <v/>
      </c>
      <c r="K281" s="48" t="str">
        <f>IF(AND(Creditos!$C$10&lt;&gt;"",Creditos!$M$10="OK",36&lt;=Creditos!$H$10),Creditos!$J$10+Creditos!$K$10,"")</f>
        <v/>
      </c>
      <c r="L281" s="48" t="str">
        <f>IF(AND(Creditos!$C$10&lt;&gt;"",Creditos!$M$10="OK",36&lt;=Creditos!$H$10),I281+K281,"")</f>
        <v/>
      </c>
      <c r="M281" s="48" t="str">
        <f>IF(AND(Creditos!$C$10&lt;&gt;"",Creditos!$M$10="OK",36&lt;=Creditos!$H$10),MAX(0,F281-J281),"")</f>
        <v/>
      </c>
      <c r="N281" s="48" t="str">
        <f>IF(AND(Creditos!$C$10&lt;&gt;"",Creditos!$M$10="OK",36&lt;=Creditos!$H$10),SUMIFS(Pagos!$F$6:$F$305,Pagos!$C$6:$C$305,C281,Pagos!$D$6:$D$305,D281,Pagos!$E$6:$E$305,"&lt;="&amp;Supuestos!$D$6,Pagos!$H$6:$H$305,"OK"),"")</f>
        <v/>
      </c>
      <c r="O281" s="48" t="str">
        <f>IF(AND(Creditos!$C$10&lt;&gt;"",Creditos!$M$10="OK",36&lt;=Creditos!$H$10),MIN(J281,MAX(0,N281-K281-H281)),"")</f>
        <v/>
      </c>
      <c r="P281" s="48" t="str">
        <f>IF(AND(Creditos!$C$10&lt;&gt;"",Creditos!$M$10="OK",36&lt;=Creditos!$H$10),MAX(0,L281-N281),"")</f>
        <v/>
      </c>
      <c r="Q281" s="50" t="str">
        <f>IF(AND(Creditos!$C$10&lt;&gt;"",Creditos!$M$10="OK",36&lt;=Creditos!$H$10),IF(AND(E281&lt;Supuestos!$D$6,P281&gt;0.005),Supuestos!$D$6-E281,0),"")</f>
        <v/>
      </c>
      <c r="R281" s="48" t="str">
        <f>IF(AND(Creditos!$C$10&lt;&gt;"",Creditos!$M$10="OK",36&lt;=Creditos!$H$10),MAX(0,N281-L281),"")</f>
        <v/>
      </c>
      <c r="S281" s="46" t="str">
        <f>IF(AND(Creditos!$C$10&lt;&gt;"",Creditos!$M$10="OK",36&lt;=Creditos!$H$10),IF(R281&gt;0.005,"Exceso sin imputar",IF(P281&lt;=0.005,"Pagada",IF(E281&lt;Supuestos!$D$6,"Vencida",IF(E281=Supuestos!$D$6,"Vence hoy","Por vencer")))),"")</f>
        <v/>
      </c>
      <c r="T281" s="46">
        <f>IF(AND(Creditos!$C$10&lt;&gt;"",Creditos!$M$10="OK",36&lt;=Creditos!$H$10),IF(P281&gt;0.005,E281,999999),999999)</f>
        <v>999999</v>
      </c>
    </row>
    <row r="282" ht="25.5" customHeight="1">
      <c r="C282" s="46" t="str">
        <f>IF(AND(Creditos!$C$10&lt;&gt;"",Creditos!$M$10="OK",37&lt;=Creditos!$H$10),Creditos!$C$10,"")</f>
        <v/>
      </c>
      <c r="D282" s="46" t="str">
        <f>IF(AND(Creditos!$C$10&lt;&gt;"",Creditos!$M$10="OK",37&lt;=Creditos!$H$10),37,"")</f>
        <v/>
      </c>
      <c r="E282" s="47" t="str">
        <f>IF(AND(Creditos!$C$10&lt;&gt;"",Creditos!$M$10="OK",37&lt;=Creditos!$H$10),EDATE(Creditos!$I$10,36),"")</f>
        <v/>
      </c>
      <c r="F282" s="48" t="str">
        <f>IF(AND(Creditos!$C$10&lt;&gt;"",Creditos!$M$10="OK",37&lt;=Creditos!$H$10),M281,"")</f>
        <v/>
      </c>
      <c r="G282" s="49" t="str">
        <f>IF(AND(Creditos!$C$10&lt;&gt;"",Creditos!$M$10="OK",37&lt;=Creditos!$H$10),Creditos!$N$10,"")</f>
        <v/>
      </c>
      <c r="H282" s="48" t="str">
        <f>IF(AND(Creditos!$C$10&lt;&gt;"",Creditos!$M$10="OK",37&lt;=Creditos!$H$10),ROUND(F282*G282,2),"")</f>
        <v/>
      </c>
      <c r="I282" s="48" t="str">
        <f>IF(AND(Creditos!$C$10&lt;&gt;"",Creditos!$M$10="OK",37&lt;=Creditos!$H$10),IF(37=Creditos!$H$10,F282+H282,MIN(Creditos!$O$10,F282+H282)),"")</f>
        <v/>
      </c>
      <c r="J282" s="48" t="str">
        <f>IF(AND(Creditos!$C$10&lt;&gt;"",Creditos!$M$10="OK",37&lt;=Creditos!$H$10),MIN(F282,MAX(0,I282-H282)),"")</f>
        <v/>
      </c>
      <c r="K282" s="48" t="str">
        <f>IF(AND(Creditos!$C$10&lt;&gt;"",Creditos!$M$10="OK",37&lt;=Creditos!$H$10),Creditos!$J$10+Creditos!$K$10,"")</f>
        <v/>
      </c>
      <c r="L282" s="48" t="str">
        <f>IF(AND(Creditos!$C$10&lt;&gt;"",Creditos!$M$10="OK",37&lt;=Creditos!$H$10),I282+K282,"")</f>
        <v/>
      </c>
      <c r="M282" s="48" t="str">
        <f>IF(AND(Creditos!$C$10&lt;&gt;"",Creditos!$M$10="OK",37&lt;=Creditos!$H$10),MAX(0,F282-J282),"")</f>
        <v/>
      </c>
      <c r="N282" s="48" t="str">
        <f>IF(AND(Creditos!$C$10&lt;&gt;"",Creditos!$M$10="OK",37&lt;=Creditos!$H$10),SUMIFS(Pagos!$F$6:$F$305,Pagos!$C$6:$C$305,C282,Pagos!$D$6:$D$305,D282,Pagos!$E$6:$E$305,"&lt;="&amp;Supuestos!$D$6,Pagos!$H$6:$H$305,"OK"),"")</f>
        <v/>
      </c>
      <c r="O282" s="48" t="str">
        <f>IF(AND(Creditos!$C$10&lt;&gt;"",Creditos!$M$10="OK",37&lt;=Creditos!$H$10),MIN(J282,MAX(0,N282-K282-H282)),"")</f>
        <v/>
      </c>
      <c r="P282" s="48" t="str">
        <f>IF(AND(Creditos!$C$10&lt;&gt;"",Creditos!$M$10="OK",37&lt;=Creditos!$H$10),MAX(0,L282-N282),"")</f>
        <v/>
      </c>
      <c r="Q282" s="50" t="str">
        <f>IF(AND(Creditos!$C$10&lt;&gt;"",Creditos!$M$10="OK",37&lt;=Creditos!$H$10),IF(AND(E282&lt;Supuestos!$D$6,P282&gt;0.005),Supuestos!$D$6-E282,0),"")</f>
        <v/>
      </c>
      <c r="R282" s="48" t="str">
        <f>IF(AND(Creditos!$C$10&lt;&gt;"",Creditos!$M$10="OK",37&lt;=Creditos!$H$10),MAX(0,N282-L282),"")</f>
        <v/>
      </c>
      <c r="S282" s="46" t="str">
        <f>IF(AND(Creditos!$C$10&lt;&gt;"",Creditos!$M$10="OK",37&lt;=Creditos!$H$10),IF(R282&gt;0.005,"Exceso sin imputar",IF(P282&lt;=0.005,"Pagada",IF(E282&lt;Supuestos!$D$6,"Vencida",IF(E282=Supuestos!$D$6,"Vence hoy","Por vencer")))),"")</f>
        <v/>
      </c>
      <c r="T282" s="46">
        <f>IF(AND(Creditos!$C$10&lt;&gt;"",Creditos!$M$10="OK",37&lt;=Creditos!$H$10),IF(P282&gt;0.005,E282,999999),999999)</f>
        <v>999999</v>
      </c>
    </row>
    <row r="283" ht="25.5" customHeight="1">
      <c r="C283" s="46" t="str">
        <f>IF(AND(Creditos!$C$10&lt;&gt;"",Creditos!$M$10="OK",38&lt;=Creditos!$H$10),Creditos!$C$10,"")</f>
        <v/>
      </c>
      <c r="D283" s="46" t="str">
        <f>IF(AND(Creditos!$C$10&lt;&gt;"",Creditos!$M$10="OK",38&lt;=Creditos!$H$10),38,"")</f>
        <v/>
      </c>
      <c r="E283" s="47" t="str">
        <f>IF(AND(Creditos!$C$10&lt;&gt;"",Creditos!$M$10="OK",38&lt;=Creditos!$H$10),EDATE(Creditos!$I$10,37),"")</f>
        <v/>
      </c>
      <c r="F283" s="48" t="str">
        <f>IF(AND(Creditos!$C$10&lt;&gt;"",Creditos!$M$10="OK",38&lt;=Creditos!$H$10),M282,"")</f>
        <v/>
      </c>
      <c r="G283" s="49" t="str">
        <f>IF(AND(Creditos!$C$10&lt;&gt;"",Creditos!$M$10="OK",38&lt;=Creditos!$H$10),Creditos!$N$10,"")</f>
        <v/>
      </c>
      <c r="H283" s="48" t="str">
        <f>IF(AND(Creditos!$C$10&lt;&gt;"",Creditos!$M$10="OK",38&lt;=Creditos!$H$10),ROUND(F283*G283,2),"")</f>
        <v/>
      </c>
      <c r="I283" s="48" t="str">
        <f>IF(AND(Creditos!$C$10&lt;&gt;"",Creditos!$M$10="OK",38&lt;=Creditos!$H$10),IF(38=Creditos!$H$10,F283+H283,MIN(Creditos!$O$10,F283+H283)),"")</f>
        <v/>
      </c>
      <c r="J283" s="48" t="str">
        <f>IF(AND(Creditos!$C$10&lt;&gt;"",Creditos!$M$10="OK",38&lt;=Creditos!$H$10),MIN(F283,MAX(0,I283-H283)),"")</f>
        <v/>
      </c>
      <c r="K283" s="48" t="str">
        <f>IF(AND(Creditos!$C$10&lt;&gt;"",Creditos!$M$10="OK",38&lt;=Creditos!$H$10),Creditos!$J$10+Creditos!$K$10,"")</f>
        <v/>
      </c>
      <c r="L283" s="48" t="str">
        <f>IF(AND(Creditos!$C$10&lt;&gt;"",Creditos!$M$10="OK",38&lt;=Creditos!$H$10),I283+K283,"")</f>
        <v/>
      </c>
      <c r="M283" s="48" t="str">
        <f>IF(AND(Creditos!$C$10&lt;&gt;"",Creditos!$M$10="OK",38&lt;=Creditos!$H$10),MAX(0,F283-J283),"")</f>
        <v/>
      </c>
      <c r="N283" s="48" t="str">
        <f>IF(AND(Creditos!$C$10&lt;&gt;"",Creditos!$M$10="OK",38&lt;=Creditos!$H$10),SUMIFS(Pagos!$F$6:$F$305,Pagos!$C$6:$C$305,C283,Pagos!$D$6:$D$305,D283,Pagos!$E$6:$E$305,"&lt;="&amp;Supuestos!$D$6,Pagos!$H$6:$H$305,"OK"),"")</f>
        <v/>
      </c>
      <c r="O283" s="48" t="str">
        <f>IF(AND(Creditos!$C$10&lt;&gt;"",Creditos!$M$10="OK",38&lt;=Creditos!$H$10),MIN(J283,MAX(0,N283-K283-H283)),"")</f>
        <v/>
      </c>
      <c r="P283" s="48" t="str">
        <f>IF(AND(Creditos!$C$10&lt;&gt;"",Creditos!$M$10="OK",38&lt;=Creditos!$H$10),MAX(0,L283-N283),"")</f>
        <v/>
      </c>
      <c r="Q283" s="50" t="str">
        <f>IF(AND(Creditos!$C$10&lt;&gt;"",Creditos!$M$10="OK",38&lt;=Creditos!$H$10),IF(AND(E283&lt;Supuestos!$D$6,P283&gt;0.005),Supuestos!$D$6-E283,0),"")</f>
        <v/>
      </c>
      <c r="R283" s="48" t="str">
        <f>IF(AND(Creditos!$C$10&lt;&gt;"",Creditos!$M$10="OK",38&lt;=Creditos!$H$10),MAX(0,N283-L283),"")</f>
        <v/>
      </c>
      <c r="S283" s="46" t="str">
        <f>IF(AND(Creditos!$C$10&lt;&gt;"",Creditos!$M$10="OK",38&lt;=Creditos!$H$10),IF(R283&gt;0.005,"Exceso sin imputar",IF(P283&lt;=0.005,"Pagada",IF(E283&lt;Supuestos!$D$6,"Vencida",IF(E283=Supuestos!$D$6,"Vence hoy","Por vencer")))),"")</f>
        <v/>
      </c>
      <c r="T283" s="46">
        <f>IF(AND(Creditos!$C$10&lt;&gt;"",Creditos!$M$10="OK",38&lt;=Creditos!$H$10),IF(P283&gt;0.005,E283,999999),999999)</f>
        <v>999999</v>
      </c>
    </row>
    <row r="284" ht="25.5" customHeight="1">
      <c r="C284" s="46" t="str">
        <f>IF(AND(Creditos!$C$10&lt;&gt;"",Creditos!$M$10="OK",39&lt;=Creditos!$H$10),Creditos!$C$10,"")</f>
        <v/>
      </c>
      <c r="D284" s="46" t="str">
        <f>IF(AND(Creditos!$C$10&lt;&gt;"",Creditos!$M$10="OK",39&lt;=Creditos!$H$10),39,"")</f>
        <v/>
      </c>
      <c r="E284" s="47" t="str">
        <f>IF(AND(Creditos!$C$10&lt;&gt;"",Creditos!$M$10="OK",39&lt;=Creditos!$H$10),EDATE(Creditos!$I$10,38),"")</f>
        <v/>
      </c>
      <c r="F284" s="48" t="str">
        <f>IF(AND(Creditos!$C$10&lt;&gt;"",Creditos!$M$10="OK",39&lt;=Creditos!$H$10),M283,"")</f>
        <v/>
      </c>
      <c r="G284" s="49" t="str">
        <f>IF(AND(Creditos!$C$10&lt;&gt;"",Creditos!$M$10="OK",39&lt;=Creditos!$H$10),Creditos!$N$10,"")</f>
        <v/>
      </c>
      <c r="H284" s="48" t="str">
        <f>IF(AND(Creditos!$C$10&lt;&gt;"",Creditos!$M$10="OK",39&lt;=Creditos!$H$10),ROUND(F284*G284,2),"")</f>
        <v/>
      </c>
      <c r="I284" s="48" t="str">
        <f>IF(AND(Creditos!$C$10&lt;&gt;"",Creditos!$M$10="OK",39&lt;=Creditos!$H$10),IF(39=Creditos!$H$10,F284+H284,MIN(Creditos!$O$10,F284+H284)),"")</f>
        <v/>
      </c>
      <c r="J284" s="48" t="str">
        <f>IF(AND(Creditos!$C$10&lt;&gt;"",Creditos!$M$10="OK",39&lt;=Creditos!$H$10),MIN(F284,MAX(0,I284-H284)),"")</f>
        <v/>
      </c>
      <c r="K284" s="48" t="str">
        <f>IF(AND(Creditos!$C$10&lt;&gt;"",Creditos!$M$10="OK",39&lt;=Creditos!$H$10),Creditos!$J$10+Creditos!$K$10,"")</f>
        <v/>
      </c>
      <c r="L284" s="48" t="str">
        <f>IF(AND(Creditos!$C$10&lt;&gt;"",Creditos!$M$10="OK",39&lt;=Creditos!$H$10),I284+K284,"")</f>
        <v/>
      </c>
      <c r="M284" s="48" t="str">
        <f>IF(AND(Creditos!$C$10&lt;&gt;"",Creditos!$M$10="OK",39&lt;=Creditos!$H$10),MAX(0,F284-J284),"")</f>
        <v/>
      </c>
      <c r="N284" s="48" t="str">
        <f>IF(AND(Creditos!$C$10&lt;&gt;"",Creditos!$M$10="OK",39&lt;=Creditos!$H$10),SUMIFS(Pagos!$F$6:$F$305,Pagos!$C$6:$C$305,C284,Pagos!$D$6:$D$305,D284,Pagos!$E$6:$E$305,"&lt;="&amp;Supuestos!$D$6,Pagos!$H$6:$H$305,"OK"),"")</f>
        <v/>
      </c>
      <c r="O284" s="48" t="str">
        <f>IF(AND(Creditos!$C$10&lt;&gt;"",Creditos!$M$10="OK",39&lt;=Creditos!$H$10),MIN(J284,MAX(0,N284-K284-H284)),"")</f>
        <v/>
      </c>
      <c r="P284" s="48" t="str">
        <f>IF(AND(Creditos!$C$10&lt;&gt;"",Creditos!$M$10="OK",39&lt;=Creditos!$H$10),MAX(0,L284-N284),"")</f>
        <v/>
      </c>
      <c r="Q284" s="50" t="str">
        <f>IF(AND(Creditos!$C$10&lt;&gt;"",Creditos!$M$10="OK",39&lt;=Creditos!$H$10),IF(AND(E284&lt;Supuestos!$D$6,P284&gt;0.005),Supuestos!$D$6-E284,0),"")</f>
        <v/>
      </c>
      <c r="R284" s="48" t="str">
        <f>IF(AND(Creditos!$C$10&lt;&gt;"",Creditos!$M$10="OK",39&lt;=Creditos!$H$10),MAX(0,N284-L284),"")</f>
        <v/>
      </c>
      <c r="S284" s="46" t="str">
        <f>IF(AND(Creditos!$C$10&lt;&gt;"",Creditos!$M$10="OK",39&lt;=Creditos!$H$10),IF(R284&gt;0.005,"Exceso sin imputar",IF(P284&lt;=0.005,"Pagada",IF(E284&lt;Supuestos!$D$6,"Vencida",IF(E284=Supuestos!$D$6,"Vence hoy","Por vencer")))),"")</f>
        <v/>
      </c>
      <c r="T284" s="46">
        <f>IF(AND(Creditos!$C$10&lt;&gt;"",Creditos!$M$10="OK",39&lt;=Creditos!$H$10),IF(P284&gt;0.005,E284,999999),999999)</f>
        <v>999999</v>
      </c>
    </row>
    <row r="285" ht="25.5" customHeight="1">
      <c r="C285" s="46" t="str">
        <f>IF(AND(Creditos!$C$10&lt;&gt;"",Creditos!$M$10="OK",40&lt;=Creditos!$H$10),Creditos!$C$10,"")</f>
        <v/>
      </c>
      <c r="D285" s="46" t="str">
        <f>IF(AND(Creditos!$C$10&lt;&gt;"",Creditos!$M$10="OK",40&lt;=Creditos!$H$10),40,"")</f>
        <v/>
      </c>
      <c r="E285" s="47" t="str">
        <f>IF(AND(Creditos!$C$10&lt;&gt;"",Creditos!$M$10="OK",40&lt;=Creditos!$H$10),EDATE(Creditos!$I$10,39),"")</f>
        <v/>
      </c>
      <c r="F285" s="48" t="str">
        <f>IF(AND(Creditos!$C$10&lt;&gt;"",Creditos!$M$10="OK",40&lt;=Creditos!$H$10),M284,"")</f>
        <v/>
      </c>
      <c r="G285" s="49" t="str">
        <f>IF(AND(Creditos!$C$10&lt;&gt;"",Creditos!$M$10="OK",40&lt;=Creditos!$H$10),Creditos!$N$10,"")</f>
        <v/>
      </c>
      <c r="H285" s="48" t="str">
        <f>IF(AND(Creditos!$C$10&lt;&gt;"",Creditos!$M$10="OK",40&lt;=Creditos!$H$10),ROUND(F285*G285,2),"")</f>
        <v/>
      </c>
      <c r="I285" s="48" t="str">
        <f>IF(AND(Creditos!$C$10&lt;&gt;"",Creditos!$M$10="OK",40&lt;=Creditos!$H$10),IF(40=Creditos!$H$10,F285+H285,MIN(Creditos!$O$10,F285+H285)),"")</f>
        <v/>
      </c>
      <c r="J285" s="48" t="str">
        <f>IF(AND(Creditos!$C$10&lt;&gt;"",Creditos!$M$10="OK",40&lt;=Creditos!$H$10),MIN(F285,MAX(0,I285-H285)),"")</f>
        <v/>
      </c>
      <c r="K285" s="48" t="str">
        <f>IF(AND(Creditos!$C$10&lt;&gt;"",Creditos!$M$10="OK",40&lt;=Creditos!$H$10),Creditos!$J$10+Creditos!$K$10,"")</f>
        <v/>
      </c>
      <c r="L285" s="48" t="str">
        <f>IF(AND(Creditos!$C$10&lt;&gt;"",Creditos!$M$10="OK",40&lt;=Creditos!$H$10),I285+K285,"")</f>
        <v/>
      </c>
      <c r="M285" s="48" t="str">
        <f>IF(AND(Creditos!$C$10&lt;&gt;"",Creditos!$M$10="OK",40&lt;=Creditos!$H$10),MAX(0,F285-J285),"")</f>
        <v/>
      </c>
      <c r="N285" s="48" t="str">
        <f>IF(AND(Creditos!$C$10&lt;&gt;"",Creditos!$M$10="OK",40&lt;=Creditos!$H$10),SUMIFS(Pagos!$F$6:$F$305,Pagos!$C$6:$C$305,C285,Pagos!$D$6:$D$305,D285,Pagos!$E$6:$E$305,"&lt;="&amp;Supuestos!$D$6,Pagos!$H$6:$H$305,"OK"),"")</f>
        <v/>
      </c>
      <c r="O285" s="48" t="str">
        <f>IF(AND(Creditos!$C$10&lt;&gt;"",Creditos!$M$10="OK",40&lt;=Creditos!$H$10),MIN(J285,MAX(0,N285-K285-H285)),"")</f>
        <v/>
      </c>
      <c r="P285" s="48" t="str">
        <f>IF(AND(Creditos!$C$10&lt;&gt;"",Creditos!$M$10="OK",40&lt;=Creditos!$H$10),MAX(0,L285-N285),"")</f>
        <v/>
      </c>
      <c r="Q285" s="50" t="str">
        <f>IF(AND(Creditos!$C$10&lt;&gt;"",Creditos!$M$10="OK",40&lt;=Creditos!$H$10),IF(AND(E285&lt;Supuestos!$D$6,P285&gt;0.005),Supuestos!$D$6-E285,0),"")</f>
        <v/>
      </c>
      <c r="R285" s="48" t="str">
        <f>IF(AND(Creditos!$C$10&lt;&gt;"",Creditos!$M$10="OK",40&lt;=Creditos!$H$10),MAX(0,N285-L285),"")</f>
        <v/>
      </c>
      <c r="S285" s="46" t="str">
        <f>IF(AND(Creditos!$C$10&lt;&gt;"",Creditos!$M$10="OK",40&lt;=Creditos!$H$10),IF(R285&gt;0.005,"Exceso sin imputar",IF(P285&lt;=0.005,"Pagada",IF(E285&lt;Supuestos!$D$6,"Vencida",IF(E285=Supuestos!$D$6,"Vence hoy","Por vencer")))),"")</f>
        <v/>
      </c>
      <c r="T285" s="46">
        <f>IF(AND(Creditos!$C$10&lt;&gt;"",Creditos!$M$10="OK",40&lt;=Creditos!$H$10),IF(P285&gt;0.005,E285,999999),999999)</f>
        <v>999999</v>
      </c>
    </row>
    <row r="286" ht="25.5" customHeight="1">
      <c r="C286" s="46" t="str">
        <f>IF(AND(Creditos!$C$10&lt;&gt;"",Creditos!$M$10="OK",41&lt;=Creditos!$H$10),Creditos!$C$10,"")</f>
        <v/>
      </c>
      <c r="D286" s="46" t="str">
        <f>IF(AND(Creditos!$C$10&lt;&gt;"",Creditos!$M$10="OK",41&lt;=Creditos!$H$10),41,"")</f>
        <v/>
      </c>
      <c r="E286" s="47" t="str">
        <f>IF(AND(Creditos!$C$10&lt;&gt;"",Creditos!$M$10="OK",41&lt;=Creditos!$H$10),EDATE(Creditos!$I$10,40),"")</f>
        <v/>
      </c>
      <c r="F286" s="48" t="str">
        <f>IF(AND(Creditos!$C$10&lt;&gt;"",Creditos!$M$10="OK",41&lt;=Creditos!$H$10),M285,"")</f>
        <v/>
      </c>
      <c r="G286" s="49" t="str">
        <f>IF(AND(Creditos!$C$10&lt;&gt;"",Creditos!$M$10="OK",41&lt;=Creditos!$H$10),Creditos!$N$10,"")</f>
        <v/>
      </c>
      <c r="H286" s="48" t="str">
        <f>IF(AND(Creditos!$C$10&lt;&gt;"",Creditos!$M$10="OK",41&lt;=Creditos!$H$10),ROUND(F286*G286,2),"")</f>
        <v/>
      </c>
      <c r="I286" s="48" t="str">
        <f>IF(AND(Creditos!$C$10&lt;&gt;"",Creditos!$M$10="OK",41&lt;=Creditos!$H$10),IF(41=Creditos!$H$10,F286+H286,MIN(Creditos!$O$10,F286+H286)),"")</f>
        <v/>
      </c>
      <c r="J286" s="48" t="str">
        <f>IF(AND(Creditos!$C$10&lt;&gt;"",Creditos!$M$10="OK",41&lt;=Creditos!$H$10),MIN(F286,MAX(0,I286-H286)),"")</f>
        <v/>
      </c>
      <c r="K286" s="48" t="str">
        <f>IF(AND(Creditos!$C$10&lt;&gt;"",Creditos!$M$10="OK",41&lt;=Creditos!$H$10),Creditos!$J$10+Creditos!$K$10,"")</f>
        <v/>
      </c>
      <c r="L286" s="48" t="str">
        <f>IF(AND(Creditos!$C$10&lt;&gt;"",Creditos!$M$10="OK",41&lt;=Creditos!$H$10),I286+K286,"")</f>
        <v/>
      </c>
      <c r="M286" s="48" t="str">
        <f>IF(AND(Creditos!$C$10&lt;&gt;"",Creditos!$M$10="OK",41&lt;=Creditos!$H$10),MAX(0,F286-J286),"")</f>
        <v/>
      </c>
      <c r="N286" s="48" t="str">
        <f>IF(AND(Creditos!$C$10&lt;&gt;"",Creditos!$M$10="OK",41&lt;=Creditos!$H$10),SUMIFS(Pagos!$F$6:$F$305,Pagos!$C$6:$C$305,C286,Pagos!$D$6:$D$305,D286,Pagos!$E$6:$E$305,"&lt;="&amp;Supuestos!$D$6,Pagos!$H$6:$H$305,"OK"),"")</f>
        <v/>
      </c>
      <c r="O286" s="48" t="str">
        <f>IF(AND(Creditos!$C$10&lt;&gt;"",Creditos!$M$10="OK",41&lt;=Creditos!$H$10),MIN(J286,MAX(0,N286-K286-H286)),"")</f>
        <v/>
      </c>
      <c r="P286" s="48" t="str">
        <f>IF(AND(Creditos!$C$10&lt;&gt;"",Creditos!$M$10="OK",41&lt;=Creditos!$H$10),MAX(0,L286-N286),"")</f>
        <v/>
      </c>
      <c r="Q286" s="50" t="str">
        <f>IF(AND(Creditos!$C$10&lt;&gt;"",Creditos!$M$10="OK",41&lt;=Creditos!$H$10),IF(AND(E286&lt;Supuestos!$D$6,P286&gt;0.005),Supuestos!$D$6-E286,0),"")</f>
        <v/>
      </c>
      <c r="R286" s="48" t="str">
        <f>IF(AND(Creditos!$C$10&lt;&gt;"",Creditos!$M$10="OK",41&lt;=Creditos!$H$10),MAX(0,N286-L286),"")</f>
        <v/>
      </c>
      <c r="S286" s="46" t="str">
        <f>IF(AND(Creditos!$C$10&lt;&gt;"",Creditos!$M$10="OK",41&lt;=Creditos!$H$10),IF(R286&gt;0.005,"Exceso sin imputar",IF(P286&lt;=0.005,"Pagada",IF(E286&lt;Supuestos!$D$6,"Vencida",IF(E286=Supuestos!$D$6,"Vence hoy","Por vencer")))),"")</f>
        <v/>
      </c>
      <c r="T286" s="46">
        <f>IF(AND(Creditos!$C$10&lt;&gt;"",Creditos!$M$10="OK",41&lt;=Creditos!$H$10),IF(P286&gt;0.005,E286,999999),999999)</f>
        <v>999999</v>
      </c>
    </row>
    <row r="287" ht="25.5" customHeight="1">
      <c r="C287" s="46" t="str">
        <f>IF(AND(Creditos!$C$10&lt;&gt;"",Creditos!$M$10="OK",42&lt;=Creditos!$H$10),Creditos!$C$10,"")</f>
        <v/>
      </c>
      <c r="D287" s="46" t="str">
        <f>IF(AND(Creditos!$C$10&lt;&gt;"",Creditos!$M$10="OK",42&lt;=Creditos!$H$10),42,"")</f>
        <v/>
      </c>
      <c r="E287" s="47" t="str">
        <f>IF(AND(Creditos!$C$10&lt;&gt;"",Creditos!$M$10="OK",42&lt;=Creditos!$H$10),EDATE(Creditos!$I$10,41),"")</f>
        <v/>
      </c>
      <c r="F287" s="48" t="str">
        <f>IF(AND(Creditos!$C$10&lt;&gt;"",Creditos!$M$10="OK",42&lt;=Creditos!$H$10),M286,"")</f>
        <v/>
      </c>
      <c r="G287" s="49" t="str">
        <f>IF(AND(Creditos!$C$10&lt;&gt;"",Creditos!$M$10="OK",42&lt;=Creditos!$H$10),Creditos!$N$10,"")</f>
        <v/>
      </c>
      <c r="H287" s="48" t="str">
        <f>IF(AND(Creditos!$C$10&lt;&gt;"",Creditos!$M$10="OK",42&lt;=Creditos!$H$10),ROUND(F287*G287,2),"")</f>
        <v/>
      </c>
      <c r="I287" s="48" t="str">
        <f>IF(AND(Creditos!$C$10&lt;&gt;"",Creditos!$M$10="OK",42&lt;=Creditos!$H$10),IF(42=Creditos!$H$10,F287+H287,MIN(Creditos!$O$10,F287+H287)),"")</f>
        <v/>
      </c>
      <c r="J287" s="48" t="str">
        <f>IF(AND(Creditos!$C$10&lt;&gt;"",Creditos!$M$10="OK",42&lt;=Creditos!$H$10),MIN(F287,MAX(0,I287-H287)),"")</f>
        <v/>
      </c>
      <c r="K287" s="48" t="str">
        <f>IF(AND(Creditos!$C$10&lt;&gt;"",Creditos!$M$10="OK",42&lt;=Creditos!$H$10),Creditos!$J$10+Creditos!$K$10,"")</f>
        <v/>
      </c>
      <c r="L287" s="48" t="str">
        <f>IF(AND(Creditos!$C$10&lt;&gt;"",Creditos!$M$10="OK",42&lt;=Creditos!$H$10),I287+K287,"")</f>
        <v/>
      </c>
      <c r="M287" s="48" t="str">
        <f>IF(AND(Creditos!$C$10&lt;&gt;"",Creditos!$M$10="OK",42&lt;=Creditos!$H$10),MAX(0,F287-J287),"")</f>
        <v/>
      </c>
      <c r="N287" s="48" t="str">
        <f>IF(AND(Creditos!$C$10&lt;&gt;"",Creditos!$M$10="OK",42&lt;=Creditos!$H$10),SUMIFS(Pagos!$F$6:$F$305,Pagos!$C$6:$C$305,C287,Pagos!$D$6:$D$305,D287,Pagos!$E$6:$E$305,"&lt;="&amp;Supuestos!$D$6,Pagos!$H$6:$H$305,"OK"),"")</f>
        <v/>
      </c>
      <c r="O287" s="48" t="str">
        <f>IF(AND(Creditos!$C$10&lt;&gt;"",Creditos!$M$10="OK",42&lt;=Creditos!$H$10),MIN(J287,MAX(0,N287-K287-H287)),"")</f>
        <v/>
      </c>
      <c r="P287" s="48" t="str">
        <f>IF(AND(Creditos!$C$10&lt;&gt;"",Creditos!$M$10="OK",42&lt;=Creditos!$H$10),MAX(0,L287-N287),"")</f>
        <v/>
      </c>
      <c r="Q287" s="50" t="str">
        <f>IF(AND(Creditos!$C$10&lt;&gt;"",Creditos!$M$10="OK",42&lt;=Creditos!$H$10),IF(AND(E287&lt;Supuestos!$D$6,P287&gt;0.005),Supuestos!$D$6-E287,0),"")</f>
        <v/>
      </c>
      <c r="R287" s="48" t="str">
        <f>IF(AND(Creditos!$C$10&lt;&gt;"",Creditos!$M$10="OK",42&lt;=Creditos!$H$10),MAX(0,N287-L287),"")</f>
        <v/>
      </c>
      <c r="S287" s="46" t="str">
        <f>IF(AND(Creditos!$C$10&lt;&gt;"",Creditos!$M$10="OK",42&lt;=Creditos!$H$10),IF(R287&gt;0.005,"Exceso sin imputar",IF(P287&lt;=0.005,"Pagada",IF(E287&lt;Supuestos!$D$6,"Vencida",IF(E287=Supuestos!$D$6,"Vence hoy","Por vencer")))),"")</f>
        <v/>
      </c>
      <c r="T287" s="46">
        <f>IF(AND(Creditos!$C$10&lt;&gt;"",Creditos!$M$10="OK",42&lt;=Creditos!$H$10),IF(P287&gt;0.005,E287,999999),999999)</f>
        <v>999999</v>
      </c>
    </row>
    <row r="288" ht="25.5" customHeight="1">
      <c r="C288" s="46" t="str">
        <f>IF(AND(Creditos!$C$10&lt;&gt;"",Creditos!$M$10="OK",43&lt;=Creditos!$H$10),Creditos!$C$10,"")</f>
        <v/>
      </c>
      <c r="D288" s="46" t="str">
        <f>IF(AND(Creditos!$C$10&lt;&gt;"",Creditos!$M$10="OK",43&lt;=Creditos!$H$10),43,"")</f>
        <v/>
      </c>
      <c r="E288" s="47" t="str">
        <f>IF(AND(Creditos!$C$10&lt;&gt;"",Creditos!$M$10="OK",43&lt;=Creditos!$H$10),EDATE(Creditos!$I$10,42),"")</f>
        <v/>
      </c>
      <c r="F288" s="48" t="str">
        <f>IF(AND(Creditos!$C$10&lt;&gt;"",Creditos!$M$10="OK",43&lt;=Creditos!$H$10),M287,"")</f>
        <v/>
      </c>
      <c r="G288" s="49" t="str">
        <f>IF(AND(Creditos!$C$10&lt;&gt;"",Creditos!$M$10="OK",43&lt;=Creditos!$H$10),Creditos!$N$10,"")</f>
        <v/>
      </c>
      <c r="H288" s="48" t="str">
        <f>IF(AND(Creditos!$C$10&lt;&gt;"",Creditos!$M$10="OK",43&lt;=Creditos!$H$10),ROUND(F288*G288,2),"")</f>
        <v/>
      </c>
      <c r="I288" s="48" t="str">
        <f>IF(AND(Creditos!$C$10&lt;&gt;"",Creditos!$M$10="OK",43&lt;=Creditos!$H$10),IF(43=Creditos!$H$10,F288+H288,MIN(Creditos!$O$10,F288+H288)),"")</f>
        <v/>
      </c>
      <c r="J288" s="48" t="str">
        <f>IF(AND(Creditos!$C$10&lt;&gt;"",Creditos!$M$10="OK",43&lt;=Creditos!$H$10),MIN(F288,MAX(0,I288-H288)),"")</f>
        <v/>
      </c>
      <c r="K288" s="48" t="str">
        <f>IF(AND(Creditos!$C$10&lt;&gt;"",Creditos!$M$10="OK",43&lt;=Creditos!$H$10),Creditos!$J$10+Creditos!$K$10,"")</f>
        <v/>
      </c>
      <c r="L288" s="48" t="str">
        <f>IF(AND(Creditos!$C$10&lt;&gt;"",Creditos!$M$10="OK",43&lt;=Creditos!$H$10),I288+K288,"")</f>
        <v/>
      </c>
      <c r="M288" s="48" t="str">
        <f>IF(AND(Creditos!$C$10&lt;&gt;"",Creditos!$M$10="OK",43&lt;=Creditos!$H$10),MAX(0,F288-J288),"")</f>
        <v/>
      </c>
      <c r="N288" s="48" t="str">
        <f>IF(AND(Creditos!$C$10&lt;&gt;"",Creditos!$M$10="OK",43&lt;=Creditos!$H$10),SUMIFS(Pagos!$F$6:$F$305,Pagos!$C$6:$C$305,C288,Pagos!$D$6:$D$305,D288,Pagos!$E$6:$E$305,"&lt;="&amp;Supuestos!$D$6,Pagos!$H$6:$H$305,"OK"),"")</f>
        <v/>
      </c>
      <c r="O288" s="48" t="str">
        <f>IF(AND(Creditos!$C$10&lt;&gt;"",Creditos!$M$10="OK",43&lt;=Creditos!$H$10),MIN(J288,MAX(0,N288-K288-H288)),"")</f>
        <v/>
      </c>
      <c r="P288" s="48" t="str">
        <f>IF(AND(Creditos!$C$10&lt;&gt;"",Creditos!$M$10="OK",43&lt;=Creditos!$H$10),MAX(0,L288-N288),"")</f>
        <v/>
      </c>
      <c r="Q288" s="50" t="str">
        <f>IF(AND(Creditos!$C$10&lt;&gt;"",Creditos!$M$10="OK",43&lt;=Creditos!$H$10),IF(AND(E288&lt;Supuestos!$D$6,P288&gt;0.005),Supuestos!$D$6-E288,0),"")</f>
        <v/>
      </c>
      <c r="R288" s="48" t="str">
        <f>IF(AND(Creditos!$C$10&lt;&gt;"",Creditos!$M$10="OK",43&lt;=Creditos!$H$10),MAX(0,N288-L288),"")</f>
        <v/>
      </c>
      <c r="S288" s="46" t="str">
        <f>IF(AND(Creditos!$C$10&lt;&gt;"",Creditos!$M$10="OK",43&lt;=Creditos!$H$10),IF(R288&gt;0.005,"Exceso sin imputar",IF(P288&lt;=0.005,"Pagada",IF(E288&lt;Supuestos!$D$6,"Vencida",IF(E288=Supuestos!$D$6,"Vence hoy","Por vencer")))),"")</f>
        <v/>
      </c>
      <c r="T288" s="46">
        <f>IF(AND(Creditos!$C$10&lt;&gt;"",Creditos!$M$10="OK",43&lt;=Creditos!$H$10),IF(P288&gt;0.005,E288,999999),999999)</f>
        <v>999999</v>
      </c>
    </row>
    <row r="289" ht="25.5" customHeight="1">
      <c r="C289" s="46" t="str">
        <f>IF(AND(Creditos!$C$10&lt;&gt;"",Creditos!$M$10="OK",44&lt;=Creditos!$H$10),Creditos!$C$10,"")</f>
        <v/>
      </c>
      <c r="D289" s="46" t="str">
        <f>IF(AND(Creditos!$C$10&lt;&gt;"",Creditos!$M$10="OK",44&lt;=Creditos!$H$10),44,"")</f>
        <v/>
      </c>
      <c r="E289" s="47" t="str">
        <f>IF(AND(Creditos!$C$10&lt;&gt;"",Creditos!$M$10="OK",44&lt;=Creditos!$H$10),EDATE(Creditos!$I$10,43),"")</f>
        <v/>
      </c>
      <c r="F289" s="48" t="str">
        <f>IF(AND(Creditos!$C$10&lt;&gt;"",Creditos!$M$10="OK",44&lt;=Creditos!$H$10),M288,"")</f>
        <v/>
      </c>
      <c r="G289" s="49" t="str">
        <f>IF(AND(Creditos!$C$10&lt;&gt;"",Creditos!$M$10="OK",44&lt;=Creditos!$H$10),Creditos!$N$10,"")</f>
        <v/>
      </c>
      <c r="H289" s="48" t="str">
        <f>IF(AND(Creditos!$C$10&lt;&gt;"",Creditos!$M$10="OK",44&lt;=Creditos!$H$10),ROUND(F289*G289,2),"")</f>
        <v/>
      </c>
      <c r="I289" s="48" t="str">
        <f>IF(AND(Creditos!$C$10&lt;&gt;"",Creditos!$M$10="OK",44&lt;=Creditos!$H$10),IF(44=Creditos!$H$10,F289+H289,MIN(Creditos!$O$10,F289+H289)),"")</f>
        <v/>
      </c>
      <c r="J289" s="48" t="str">
        <f>IF(AND(Creditos!$C$10&lt;&gt;"",Creditos!$M$10="OK",44&lt;=Creditos!$H$10),MIN(F289,MAX(0,I289-H289)),"")</f>
        <v/>
      </c>
      <c r="K289" s="48" t="str">
        <f>IF(AND(Creditos!$C$10&lt;&gt;"",Creditos!$M$10="OK",44&lt;=Creditos!$H$10),Creditos!$J$10+Creditos!$K$10,"")</f>
        <v/>
      </c>
      <c r="L289" s="48" t="str">
        <f>IF(AND(Creditos!$C$10&lt;&gt;"",Creditos!$M$10="OK",44&lt;=Creditos!$H$10),I289+K289,"")</f>
        <v/>
      </c>
      <c r="M289" s="48" t="str">
        <f>IF(AND(Creditos!$C$10&lt;&gt;"",Creditos!$M$10="OK",44&lt;=Creditos!$H$10),MAX(0,F289-J289),"")</f>
        <v/>
      </c>
      <c r="N289" s="48" t="str">
        <f>IF(AND(Creditos!$C$10&lt;&gt;"",Creditos!$M$10="OK",44&lt;=Creditos!$H$10),SUMIFS(Pagos!$F$6:$F$305,Pagos!$C$6:$C$305,C289,Pagos!$D$6:$D$305,D289,Pagos!$E$6:$E$305,"&lt;="&amp;Supuestos!$D$6,Pagos!$H$6:$H$305,"OK"),"")</f>
        <v/>
      </c>
      <c r="O289" s="48" t="str">
        <f>IF(AND(Creditos!$C$10&lt;&gt;"",Creditos!$M$10="OK",44&lt;=Creditos!$H$10),MIN(J289,MAX(0,N289-K289-H289)),"")</f>
        <v/>
      </c>
      <c r="P289" s="48" t="str">
        <f>IF(AND(Creditos!$C$10&lt;&gt;"",Creditos!$M$10="OK",44&lt;=Creditos!$H$10),MAX(0,L289-N289),"")</f>
        <v/>
      </c>
      <c r="Q289" s="50" t="str">
        <f>IF(AND(Creditos!$C$10&lt;&gt;"",Creditos!$M$10="OK",44&lt;=Creditos!$H$10),IF(AND(E289&lt;Supuestos!$D$6,P289&gt;0.005),Supuestos!$D$6-E289,0),"")</f>
        <v/>
      </c>
      <c r="R289" s="48" t="str">
        <f>IF(AND(Creditos!$C$10&lt;&gt;"",Creditos!$M$10="OK",44&lt;=Creditos!$H$10),MAX(0,N289-L289),"")</f>
        <v/>
      </c>
      <c r="S289" s="46" t="str">
        <f>IF(AND(Creditos!$C$10&lt;&gt;"",Creditos!$M$10="OK",44&lt;=Creditos!$H$10),IF(R289&gt;0.005,"Exceso sin imputar",IF(P289&lt;=0.005,"Pagada",IF(E289&lt;Supuestos!$D$6,"Vencida",IF(E289=Supuestos!$D$6,"Vence hoy","Por vencer")))),"")</f>
        <v/>
      </c>
      <c r="T289" s="46">
        <f>IF(AND(Creditos!$C$10&lt;&gt;"",Creditos!$M$10="OK",44&lt;=Creditos!$H$10),IF(P289&gt;0.005,E289,999999),999999)</f>
        <v>999999</v>
      </c>
    </row>
    <row r="290" ht="25.5" customHeight="1">
      <c r="C290" s="46" t="str">
        <f>IF(AND(Creditos!$C$10&lt;&gt;"",Creditos!$M$10="OK",45&lt;=Creditos!$H$10),Creditos!$C$10,"")</f>
        <v/>
      </c>
      <c r="D290" s="46" t="str">
        <f>IF(AND(Creditos!$C$10&lt;&gt;"",Creditos!$M$10="OK",45&lt;=Creditos!$H$10),45,"")</f>
        <v/>
      </c>
      <c r="E290" s="47" t="str">
        <f>IF(AND(Creditos!$C$10&lt;&gt;"",Creditos!$M$10="OK",45&lt;=Creditos!$H$10),EDATE(Creditos!$I$10,44),"")</f>
        <v/>
      </c>
      <c r="F290" s="48" t="str">
        <f>IF(AND(Creditos!$C$10&lt;&gt;"",Creditos!$M$10="OK",45&lt;=Creditos!$H$10),M289,"")</f>
        <v/>
      </c>
      <c r="G290" s="49" t="str">
        <f>IF(AND(Creditos!$C$10&lt;&gt;"",Creditos!$M$10="OK",45&lt;=Creditos!$H$10),Creditos!$N$10,"")</f>
        <v/>
      </c>
      <c r="H290" s="48" t="str">
        <f>IF(AND(Creditos!$C$10&lt;&gt;"",Creditos!$M$10="OK",45&lt;=Creditos!$H$10),ROUND(F290*G290,2),"")</f>
        <v/>
      </c>
      <c r="I290" s="48" t="str">
        <f>IF(AND(Creditos!$C$10&lt;&gt;"",Creditos!$M$10="OK",45&lt;=Creditos!$H$10),IF(45=Creditos!$H$10,F290+H290,MIN(Creditos!$O$10,F290+H290)),"")</f>
        <v/>
      </c>
      <c r="J290" s="48" t="str">
        <f>IF(AND(Creditos!$C$10&lt;&gt;"",Creditos!$M$10="OK",45&lt;=Creditos!$H$10),MIN(F290,MAX(0,I290-H290)),"")</f>
        <v/>
      </c>
      <c r="K290" s="48" t="str">
        <f>IF(AND(Creditos!$C$10&lt;&gt;"",Creditos!$M$10="OK",45&lt;=Creditos!$H$10),Creditos!$J$10+Creditos!$K$10,"")</f>
        <v/>
      </c>
      <c r="L290" s="48" t="str">
        <f>IF(AND(Creditos!$C$10&lt;&gt;"",Creditos!$M$10="OK",45&lt;=Creditos!$H$10),I290+K290,"")</f>
        <v/>
      </c>
      <c r="M290" s="48" t="str">
        <f>IF(AND(Creditos!$C$10&lt;&gt;"",Creditos!$M$10="OK",45&lt;=Creditos!$H$10),MAX(0,F290-J290),"")</f>
        <v/>
      </c>
      <c r="N290" s="48" t="str">
        <f>IF(AND(Creditos!$C$10&lt;&gt;"",Creditos!$M$10="OK",45&lt;=Creditos!$H$10),SUMIFS(Pagos!$F$6:$F$305,Pagos!$C$6:$C$305,C290,Pagos!$D$6:$D$305,D290,Pagos!$E$6:$E$305,"&lt;="&amp;Supuestos!$D$6,Pagos!$H$6:$H$305,"OK"),"")</f>
        <v/>
      </c>
      <c r="O290" s="48" t="str">
        <f>IF(AND(Creditos!$C$10&lt;&gt;"",Creditos!$M$10="OK",45&lt;=Creditos!$H$10),MIN(J290,MAX(0,N290-K290-H290)),"")</f>
        <v/>
      </c>
      <c r="P290" s="48" t="str">
        <f>IF(AND(Creditos!$C$10&lt;&gt;"",Creditos!$M$10="OK",45&lt;=Creditos!$H$10),MAX(0,L290-N290),"")</f>
        <v/>
      </c>
      <c r="Q290" s="50" t="str">
        <f>IF(AND(Creditos!$C$10&lt;&gt;"",Creditos!$M$10="OK",45&lt;=Creditos!$H$10),IF(AND(E290&lt;Supuestos!$D$6,P290&gt;0.005),Supuestos!$D$6-E290,0),"")</f>
        <v/>
      </c>
      <c r="R290" s="48" t="str">
        <f>IF(AND(Creditos!$C$10&lt;&gt;"",Creditos!$M$10="OK",45&lt;=Creditos!$H$10),MAX(0,N290-L290),"")</f>
        <v/>
      </c>
      <c r="S290" s="46" t="str">
        <f>IF(AND(Creditos!$C$10&lt;&gt;"",Creditos!$M$10="OK",45&lt;=Creditos!$H$10),IF(R290&gt;0.005,"Exceso sin imputar",IF(P290&lt;=0.005,"Pagada",IF(E290&lt;Supuestos!$D$6,"Vencida",IF(E290=Supuestos!$D$6,"Vence hoy","Por vencer")))),"")</f>
        <v/>
      </c>
      <c r="T290" s="46">
        <f>IF(AND(Creditos!$C$10&lt;&gt;"",Creditos!$M$10="OK",45&lt;=Creditos!$H$10),IF(P290&gt;0.005,E290,999999),999999)</f>
        <v>999999</v>
      </c>
    </row>
    <row r="291" ht="25.5" customHeight="1">
      <c r="C291" s="46" t="str">
        <f>IF(AND(Creditos!$C$10&lt;&gt;"",Creditos!$M$10="OK",46&lt;=Creditos!$H$10),Creditos!$C$10,"")</f>
        <v/>
      </c>
      <c r="D291" s="46" t="str">
        <f>IF(AND(Creditos!$C$10&lt;&gt;"",Creditos!$M$10="OK",46&lt;=Creditos!$H$10),46,"")</f>
        <v/>
      </c>
      <c r="E291" s="47" t="str">
        <f>IF(AND(Creditos!$C$10&lt;&gt;"",Creditos!$M$10="OK",46&lt;=Creditos!$H$10),EDATE(Creditos!$I$10,45),"")</f>
        <v/>
      </c>
      <c r="F291" s="48" t="str">
        <f>IF(AND(Creditos!$C$10&lt;&gt;"",Creditos!$M$10="OK",46&lt;=Creditos!$H$10),M290,"")</f>
        <v/>
      </c>
      <c r="G291" s="49" t="str">
        <f>IF(AND(Creditos!$C$10&lt;&gt;"",Creditos!$M$10="OK",46&lt;=Creditos!$H$10),Creditos!$N$10,"")</f>
        <v/>
      </c>
      <c r="H291" s="48" t="str">
        <f>IF(AND(Creditos!$C$10&lt;&gt;"",Creditos!$M$10="OK",46&lt;=Creditos!$H$10),ROUND(F291*G291,2),"")</f>
        <v/>
      </c>
      <c r="I291" s="48" t="str">
        <f>IF(AND(Creditos!$C$10&lt;&gt;"",Creditos!$M$10="OK",46&lt;=Creditos!$H$10),IF(46=Creditos!$H$10,F291+H291,MIN(Creditos!$O$10,F291+H291)),"")</f>
        <v/>
      </c>
      <c r="J291" s="48" t="str">
        <f>IF(AND(Creditos!$C$10&lt;&gt;"",Creditos!$M$10="OK",46&lt;=Creditos!$H$10),MIN(F291,MAX(0,I291-H291)),"")</f>
        <v/>
      </c>
      <c r="K291" s="48" t="str">
        <f>IF(AND(Creditos!$C$10&lt;&gt;"",Creditos!$M$10="OK",46&lt;=Creditos!$H$10),Creditos!$J$10+Creditos!$K$10,"")</f>
        <v/>
      </c>
      <c r="L291" s="48" t="str">
        <f>IF(AND(Creditos!$C$10&lt;&gt;"",Creditos!$M$10="OK",46&lt;=Creditos!$H$10),I291+K291,"")</f>
        <v/>
      </c>
      <c r="M291" s="48" t="str">
        <f>IF(AND(Creditos!$C$10&lt;&gt;"",Creditos!$M$10="OK",46&lt;=Creditos!$H$10),MAX(0,F291-J291),"")</f>
        <v/>
      </c>
      <c r="N291" s="48" t="str">
        <f>IF(AND(Creditos!$C$10&lt;&gt;"",Creditos!$M$10="OK",46&lt;=Creditos!$H$10),SUMIFS(Pagos!$F$6:$F$305,Pagos!$C$6:$C$305,C291,Pagos!$D$6:$D$305,D291,Pagos!$E$6:$E$305,"&lt;="&amp;Supuestos!$D$6,Pagos!$H$6:$H$305,"OK"),"")</f>
        <v/>
      </c>
      <c r="O291" s="48" t="str">
        <f>IF(AND(Creditos!$C$10&lt;&gt;"",Creditos!$M$10="OK",46&lt;=Creditos!$H$10),MIN(J291,MAX(0,N291-K291-H291)),"")</f>
        <v/>
      </c>
      <c r="P291" s="48" t="str">
        <f>IF(AND(Creditos!$C$10&lt;&gt;"",Creditos!$M$10="OK",46&lt;=Creditos!$H$10),MAX(0,L291-N291),"")</f>
        <v/>
      </c>
      <c r="Q291" s="50" t="str">
        <f>IF(AND(Creditos!$C$10&lt;&gt;"",Creditos!$M$10="OK",46&lt;=Creditos!$H$10),IF(AND(E291&lt;Supuestos!$D$6,P291&gt;0.005),Supuestos!$D$6-E291,0),"")</f>
        <v/>
      </c>
      <c r="R291" s="48" t="str">
        <f>IF(AND(Creditos!$C$10&lt;&gt;"",Creditos!$M$10="OK",46&lt;=Creditos!$H$10),MAX(0,N291-L291),"")</f>
        <v/>
      </c>
      <c r="S291" s="46" t="str">
        <f>IF(AND(Creditos!$C$10&lt;&gt;"",Creditos!$M$10="OK",46&lt;=Creditos!$H$10),IF(R291&gt;0.005,"Exceso sin imputar",IF(P291&lt;=0.005,"Pagada",IF(E291&lt;Supuestos!$D$6,"Vencida",IF(E291=Supuestos!$D$6,"Vence hoy","Por vencer")))),"")</f>
        <v/>
      </c>
      <c r="T291" s="46">
        <f>IF(AND(Creditos!$C$10&lt;&gt;"",Creditos!$M$10="OK",46&lt;=Creditos!$H$10),IF(P291&gt;0.005,E291,999999),999999)</f>
        <v>999999</v>
      </c>
    </row>
    <row r="292" ht="25.5" customHeight="1">
      <c r="C292" s="46" t="str">
        <f>IF(AND(Creditos!$C$10&lt;&gt;"",Creditos!$M$10="OK",47&lt;=Creditos!$H$10),Creditos!$C$10,"")</f>
        <v/>
      </c>
      <c r="D292" s="46" t="str">
        <f>IF(AND(Creditos!$C$10&lt;&gt;"",Creditos!$M$10="OK",47&lt;=Creditos!$H$10),47,"")</f>
        <v/>
      </c>
      <c r="E292" s="47" t="str">
        <f>IF(AND(Creditos!$C$10&lt;&gt;"",Creditos!$M$10="OK",47&lt;=Creditos!$H$10),EDATE(Creditos!$I$10,46),"")</f>
        <v/>
      </c>
      <c r="F292" s="48" t="str">
        <f>IF(AND(Creditos!$C$10&lt;&gt;"",Creditos!$M$10="OK",47&lt;=Creditos!$H$10),M291,"")</f>
        <v/>
      </c>
      <c r="G292" s="49" t="str">
        <f>IF(AND(Creditos!$C$10&lt;&gt;"",Creditos!$M$10="OK",47&lt;=Creditos!$H$10),Creditos!$N$10,"")</f>
        <v/>
      </c>
      <c r="H292" s="48" t="str">
        <f>IF(AND(Creditos!$C$10&lt;&gt;"",Creditos!$M$10="OK",47&lt;=Creditos!$H$10),ROUND(F292*G292,2),"")</f>
        <v/>
      </c>
      <c r="I292" s="48" t="str">
        <f>IF(AND(Creditos!$C$10&lt;&gt;"",Creditos!$M$10="OK",47&lt;=Creditos!$H$10),IF(47=Creditos!$H$10,F292+H292,MIN(Creditos!$O$10,F292+H292)),"")</f>
        <v/>
      </c>
      <c r="J292" s="48" t="str">
        <f>IF(AND(Creditos!$C$10&lt;&gt;"",Creditos!$M$10="OK",47&lt;=Creditos!$H$10),MIN(F292,MAX(0,I292-H292)),"")</f>
        <v/>
      </c>
      <c r="K292" s="48" t="str">
        <f>IF(AND(Creditos!$C$10&lt;&gt;"",Creditos!$M$10="OK",47&lt;=Creditos!$H$10),Creditos!$J$10+Creditos!$K$10,"")</f>
        <v/>
      </c>
      <c r="L292" s="48" t="str">
        <f>IF(AND(Creditos!$C$10&lt;&gt;"",Creditos!$M$10="OK",47&lt;=Creditos!$H$10),I292+K292,"")</f>
        <v/>
      </c>
      <c r="M292" s="48" t="str">
        <f>IF(AND(Creditos!$C$10&lt;&gt;"",Creditos!$M$10="OK",47&lt;=Creditos!$H$10),MAX(0,F292-J292),"")</f>
        <v/>
      </c>
      <c r="N292" s="48" t="str">
        <f>IF(AND(Creditos!$C$10&lt;&gt;"",Creditos!$M$10="OK",47&lt;=Creditos!$H$10),SUMIFS(Pagos!$F$6:$F$305,Pagos!$C$6:$C$305,C292,Pagos!$D$6:$D$305,D292,Pagos!$E$6:$E$305,"&lt;="&amp;Supuestos!$D$6,Pagos!$H$6:$H$305,"OK"),"")</f>
        <v/>
      </c>
      <c r="O292" s="48" t="str">
        <f>IF(AND(Creditos!$C$10&lt;&gt;"",Creditos!$M$10="OK",47&lt;=Creditos!$H$10),MIN(J292,MAX(0,N292-K292-H292)),"")</f>
        <v/>
      </c>
      <c r="P292" s="48" t="str">
        <f>IF(AND(Creditos!$C$10&lt;&gt;"",Creditos!$M$10="OK",47&lt;=Creditos!$H$10),MAX(0,L292-N292),"")</f>
        <v/>
      </c>
      <c r="Q292" s="50" t="str">
        <f>IF(AND(Creditos!$C$10&lt;&gt;"",Creditos!$M$10="OK",47&lt;=Creditos!$H$10),IF(AND(E292&lt;Supuestos!$D$6,P292&gt;0.005),Supuestos!$D$6-E292,0),"")</f>
        <v/>
      </c>
      <c r="R292" s="48" t="str">
        <f>IF(AND(Creditos!$C$10&lt;&gt;"",Creditos!$M$10="OK",47&lt;=Creditos!$H$10),MAX(0,N292-L292),"")</f>
        <v/>
      </c>
      <c r="S292" s="46" t="str">
        <f>IF(AND(Creditos!$C$10&lt;&gt;"",Creditos!$M$10="OK",47&lt;=Creditos!$H$10),IF(R292&gt;0.005,"Exceso sin imputar",IF(P292&lt;=0.005,"Pagada",IF(E292&lt;Supuestos!$D$6,"Vencida",IF(E292=Supuestos!$D$6,"Vence hoy","Por vencer")))),"")</f>
        <v/>
      </c>
      <c r="T292" s="46">
        <f>IF(AND(Creditos!$C$10&lt;&gt;"",Creditos!$M$10="OK",47&lt;=Creditos!$H$10),IF(P292&gt;0.005,E292,999999),999999)</f>
        <v>999999</v>
      </c>
    </row>
    <row r="293" ht="25.5" customHeight="1">
      <c r="C293" s="46" t="str">
        <f>IF(AND(Creditos!$C$10&lt;&gt;"",Creditos!$M$10="OK",48&lt;=Creditos!$H$10),Creditos!$C$10,"")</f>
        <v/>
      </c>
      <c r="D293" s="46" t="str">
        <f>IF(AND(Creditos!$C$10&lt;&gt;"",Creditos!$M$10="OK",48&lt;=Creditos!$H$10),48,"")</f>
        <v/>
      </c>
      <c r="E293" s="47" t="str">
        <f>IF(AND(Creditos!$C$10&lt;&gt;"",Creditos!$M$10="OK",48&lt;=Creditos!$H$10),EDATE(Creditos!$I$10,47),"")</f>
        <v/>
      </c>
      <c r="F293" s="48" t="str">
        <f>IF(AND(Creditos!$C$10&lt;&gt;"",Creditos!$M$10="OK",48&lt;=Creditos!$H$10),M292,"")</f>
        <v/>
      </c>
      <c r="G293" s="49" t="str">
        <f>IF(AND(Creditos!$C$10&lt;&gt;"",Creditos!$M$10="OK",48&lt;=Creditos!$H$10),Creditos!$N$10,"")</f>
        <v/>
      </c>
      <c r="H293" s="48" t="str">
        <f>IF(AND(Creditos!$C$10&lt;&gt;"",Creditos!$M$10="OK",48&lt;=Creditos!$H$10),ROUND(F293*G293,2),"")</f>
        <v/>
      </c>
      <c r="I293" s="48" t="str">
        <f>IF(AND(Creditos!$C$10&lt;&gt;"",Creditos!$M$10="OK",48&lt;=Creditos!$H$10),IF(48=Creditos!$H$10,F293+H293,MIN(Creditos!$O$10,F293+H293)),"")</f>
        <v/>
      </c>
      <c r="J293" s="48" t="str">
        <f>IF(AND(Creditos!$C$10&lt;&gt;"",Creditos!$M$10="OK",48&lt;=Creditos!$H$10),MIN(F293,MAX(0,I293-H293)),"")</f>
        <v/>
      </c>
      <c r="K293" s="48" t="str">
        <f>IF(AND(Creditos!$C$10&lt;&gt;"",Creditos!$M$10="OK",48&lt;=Creditos!$H$10),Creditos!$J$10+Creditos!$K$10,"")</f>
        <v/>
      </c>
      <c r="L293" s="48" t="str">
        <f>IF(AND(Creditos!$C$10&lt;&gt;"",Creditos!$M$10="OK",48&lt;=Creditos!$H$10),I293+K293,"")</f>
        <v/>
      </c>
      <c r="M293" s="48" t="str">
        <f>IF(AND(Creditos!$C$10&lt;&gt;"",Creditos!$M$10="OK",48&lt;=Creditos!$H$10),MAX(0,F293-J293),"")</f>
        <v/>
      </c>
      <c r="N293" s="48" t="str">
        <f>IF(AND(Creditos!$C$10&lt;&gt;"",Creditos!$M$10="OK",48&lt;=Creditos!$H$10),SUMIFS(Pagos!$F$6:$F$305,Pagos!$C$6:$C$305,C293,Pagos!$D$6:$D$305,D293,Pagos!$E$6:$E$305,"&lt;="&amp;Supuestos!$D$6,Pagos!$H$6:$H$305,"OK"),"")</f>
        <v/>
      </c>
      <c r="O293" s="48" t="str">
        <f>IF(AND(Creditos!$C$10&lt;&gt;"",Creditos!$M$10="OK",48&lt;=Creditos!$H$10),MIN(J293,MAX(0,N293-K293-H293)),"")</f>
        <v/>
      </c>
      <c r="P293" s="48" t="str">
        <f>IF(AND(Creditos!$C$10&lt;&gt;"",Creditos!$M$10="OK",48&lt;=Creditos!$H$10),MAX(0,L293-N293),"")</f>
        <v/>
      </c>
      <c r="Q293" s="50" t="str">
        <f>IF(AND(Creditos!$C$10&lt;&gt;"",Creditos!$M$10="OK",48&lt;=Creditos!$H$10),IF(AND(E293&lt;Supuestos!$D$6,P293&gt;0.005),Supuestos!$D$6-E293,0),"")</f>
        <v/>
      </c>
      <c r="R293" s="48" t="str">
        <f>IF(AND(Creditos!$C$10&lt;&gt;"",Creditos!$M$10="OK",48&lt;=Creditos!$H$10),MAX(0,N293-L293),"")</f>
        <v/>
      </c>
      <c r="S293" s="46" t="str">
        <f>IF(AND(Creditos!$C$10&lt;&gt;"",Creditos!$M$10="OK",48&lt;=Creditos!$H$10),IF(R293&gt;0.005,"Exceso sin imputar",IF(P293&lt;=0.005,"Pagada",IF(E293&lt;Supuestos!$D$6,"Vencida",IF(E293=Supuestos!$D$6,"Vence hoy","Por vencer")))),"")</f>
        <v/>
      </c>
      <c r="T293" s="46">
        <f>IF(AND(Creditos!$C$10&lt;&gt;"",Creditos!$M$10="OK",48&lt;=Creditos!$H$10),IF(P293&gt;0.005,E293,999999),999999)</f>
        <v>999999</v>
      </c>
    </row>
    <row r="294" ht="25.5" customHeight="1">
      <c r="C294" s="46" t="str">
        <f>IF(AND(Creditos!$C$10&lt;&gt;"",Creditos!$M$10="OK",49&lt;=Creditos!$H$10),Creditos!$C$10,"")</f>
        <v/>
      </c>
      <c r="D294" s="46" t="str">
        <f>IF(AND(Creditos!$C$10&lt;&gt;"",Creditos!$M$10="OK",49&lt;=Creditos!$H$10),49,"")</f>
        <v/>
      </c>
      <c r="E294" s="47" t="str">
        <f>IF(AND(Creditos!$C$10&lt;&gt;"",Creditos!$M$10="OK",49&lt;=Creditos!$H$10),EDATE(Creditos!$I$10,48),"")</f>
        <v/>
      </c>
      <c r="F294" s="48" t="str">
        <f>IF(AND(Creditos!$C$10&lt;&gt;"",Creditos!$M$10="OK",49&lt;=Creditos!$H$10),M293,"")</f>
        <v/>
      </c>
      <c r="G294" s="49" t="str">
        <f>IF(AND(Creditos!$C$10&lt;&gt;"",Creditos!$M$10="OK",49&lt;=Creditos!$H$10),Creditos!$N$10,"")</f>
        <v/>
      </c>
      <c r="H294" s="48" t="str">
        <f>IF(AND(Creditos!$C$10&lt;&gt;"",Creditos!$M$10="OK",49&lt;=Creditos!$H$10),ROUND(F294*G294,2),"")</f>
        <v/>
      </c>
      <c r="I294" s="48" t="str">
        <f>IF(AND(Creditos!$C$10&lt;&gt;"",Creditos!$M$10="OK",49&lt;=Creditos!$H$10),IF(49=Creditos!$H$10,F294+H294,MIN(Creditos!$O$10,F294+H294)),"")</f>
        <v/>
      </c>
      <c r="J294" s="48" t="str">
        <f>IF(AND(Creditos!$C$10&lt;&gt;"",Creditos!$M$10="OK",49&lt;=Creditos!$H$10),MIN(F294,MAX(0,I294-H294)),"")</f>
        <v/>
      </c>
      <c r="K294" s="48" t="str">
        <f>IF(AND(Creditos!$C$10&lt;&gt;"",Creditos!$M$10="OK",49&lt;=Creditos!$H$10),Creditos!$J$10+Creditos!$K$10,"")</f>
        <v/>
      </c>
      <c r="L294" s="48" t="str">
        <f>IF(AND(Creditos!$C$10&lt;&gt;"",Creditos!$M$10="OK",49&lt;=Creditos!$H$10),I294+K294,"")</f>
        <v/>
      </c>
      <c r="M294" s="48" t="str">
        <f>IF(AND(Creditos!$C$10&lt;&gt;"",Creditos!$M$10="OK",49&lt;=Creditos!$H$10),MAX(0,F294-J294),"")</f>
        <v/>
      </c>
      <c r="N294" s="48" t="str">
        <f>IF(AND(Creditos!$C$10&lt;&gt;"",Creditos!$M$10="OK",49&lt;=Creditos!$H$10),SUMIFS(Pagos!$F$6:$F$305,Pagos!$C$6:$C$305,C294,Pagos!$D$6:$D$305,D294,Pagos!$E$6:$E$305,"&lt;="&amp;Supuestos!$D$6,Pagos!$H$6:$H$305,"OK"),"")</f>
        <v/>
      </c>
      <c r="O294" s="48" t="str">
        <f>IF(AND(Creditos!$C$10&lt;&gt;"",Creditos!$M$10="OK",49&lt;=Creditos!$H$10),MIN(J294,MAX(0,N294-K294-H294)),"")</f>
        <v/>
      </c>
      <c r="P294" s="48" t="str">
        <f>IF(AND(Creditos!$C$10&lt;&gt;"",Creditos!$M$10="OK",49&lt;=Creditos!$H$10),MAX(0,L294-N294),"")</f>
        <v/>
      </c>
      <c r="Q294" s="50" t="str">
        <f>IF(AND(Creditos!$C$10&lt;&gt;"",Creditos!$M$10="OK",49&lt;=Creditos!$H$10),IF(AND(E294&lt;Supuestos!$D$6,P294&gt;0.005),Supuestos!$D$6-E294,0),"")</f>
        <v/>
      </c>
      <c r="R294" s="48" t="str">
        <f>IF(AND(Creditos!$C$10&lt;&gt;"",Creditos!$M$10="OK",49&lt;=Creditos!$H$10),MAX(0,N294-L294),"")</f>
        <v/>
      </c>
      <c r="S294" s="46" t="str">
        <f>IF(AND(Creditos!$C$10&lt;&gt;"",Creditos!$M$10="OK",49&lt;=Creditos!$H$10),IF(R294&gt;0.005,"Exceso sin imputar",IF(P294&lt;=0.005,"Pagada",IF(E294&lt;Supuestos!$D$6,"Vencida",IF(E294=Supuestos!$D$6,"Vence hoy","Por vencer")))),"")</f>
        <v/>
      </c>
      <c r="T294" s="46">
        <f>IF(AND(Creditos!$C$10&lt;&gt;"",Creditos!$M$10="OK",49&lt;=Creditos!$H$10),IF(P294&gt;0.005,E294,999999),999999)</f>
        <v>999999</v>
      </c>
    </row>
    <row r="295" ht="25.5" customHeight="1">
      <c r="C295" s="46" t="str">
        <f>IF(AND(Creditos!$C$10&lt;&gt;"",Creditos!$M$10="OK",50&lt;=Creditos!$H$10),Creditos!$C$10,"")</f>
        <v/>
      </c>
      <c r="D295" s="46" t="str">
        <f>IF(AND(Creditos!$C$10&lt;&gt;"",Creditos!$M$10="OK",50&lt;=Creditos!$H$10),50,"")</f>
        <v/>
      </c>
      <c r="E295" s="47" t="str">
        <f>IF(AND(Creditos!$C$10&lt;&gt;"",Creditos!$M$10="OK",50&lt;=Creditos!$H$10),EDATE(Creditos!$I$10,49),"")</f>
        <v/>
      </c>
      <c r="F295" s="48" t="str">
        <f>IF(AND(Creditos!$C$10&lt;&gt;"",Creditos!$M$10="OK",50&lt;=Creditos!$H$10),M294,"")</f>
        <v/>
      </c>
      <c r="G295" s="49" t="str">
        <f>IF(AND(Creditos!$C$10&lt;&gt;"",Creditos!$M$10="OK",50&lt;=Creditos!$H$10),Creditos!$N$10,"")</f>
        <v/>
      </c>
      <c r="H295" s="48" t="str">
        <f>IF(AND(Creditos!$C$10&lt;&gt;"",Creditos!$M$10="OK",50&lt;=Creditos!$H$10),ROUND(F295*G295,2),"")</f>
        <v/>
      </c>
      <c r="I295" s="48" t="str">
        <f>IF(AND(Creditos!$C$10&lt;&gt;"",Creditos!$M$10="OK",50&lt;=Creditos!$H$10),IF(50=Creditos!$H$10,F295+H295,MIN(Creditos!$O$10,F295+H295)),"")</f>
        <v/>
      </c>
      <c r="J295" s="48" t="str">
        <f>IF(AND(Creditos!$C$10&lt;&gt;"",Creditos!$M$10="OK",50&lt;=Creditos!$H$10),MIN(F295,MAX(0,I295-H295)),"")</f>
        <v/>
      </c>
      <c r="K295" s="48" t="str">
        <f>IF(AND(Creditos!$C$10&lt;&gt;"",Creditos!$M$10="OK",50&lt;=Creditos!$H$10),Creditos!$J$10+Creditos!$K$10,"")</f>
        <v/>
      </c>
      <c r="L295" s="48" t="str">
        <f>IF(AND(Creditos!$C$10&lt;&gt;"",Creditos!$M$10="OK",50&lt;=Creditos!$H$10),I295+K295,"")</f>
        <v/>
      </c>
      <c r="M295" s="48" t="str">
        <f>IF(AND(Creditos!$C$10&lt;&gt;"",Creditos!$M$10="OK",50&lt;=Creditos!$H$10),MAX(0,F295-J295),"")</f>
        <v/>
      </c>
      <c r="N295" s="48" t="str">
        <f>IF(AND(Creditos!$C$10&lt;&gt;"",Creditos!$M$10="OK",50&lt;=Creditos!$H$10),SUMIFS(Pagos!$F$6:$F$305,Pagos!$C$6:$C$305,C295,Pagos!$D$6:$D$305,D295,Pagos!$E$6:$E$305,"&lt;="&amp;Supuestos!$D$6,Pagos!$H$6:$H$305,"OK"),"")</f>
        <v/>
      </c>
      <c r="O295" s="48" t="str">
        <f>IF(AND(Creditos!$C$10&lt;&gt;"",Creditos!$M$10="OK",50&lt;=Creditos!$H$10),MIN(J295,MAX(0,N295-K295-H295)),"")</f>
        <v/>
      </c>
      <c r="P295" s="48" t="str">
        <f>IF(AND(Creditos!$C$10&lt;&gt;"",Creditos!$M$10="OK",50&lt;=Creditos!$H$10),MAX(0,L295-N295),"")</f>
        <v/>
      </c>
      <c r="Q295" s="50" t="str">
        <f>IF(AND(Creditos!$C$10&lt;&gt;"",Creditos!$M$10="OK",50&lt;=Creditos!$H$10),IF(AND(E295&lt;Supuestos!$D$6,P295&gt;0.005),Supuestos!$D$6-E295,0),"")</f>
        <v/>
      </c>
      <c r="R295" s="48" t="str">
        <f>IF(AND(Creditos!$C$10&lt;&gt;"",Creditos!$M$10="OK",50&lt;=Creditos!$H$10),MAX(0,N295-L295),"")</f>
        <v/>
      </c>
      <c r="S295" s="46" t="str">
        <f>IF(AND(Creditos!$C$10&lt;&gt;"",Creditos!$M$10="OK",50&lt;=Creditos!$H$10),IF(R295&gt;0.005,"Exceso sin imputar",IF(P295&lt;=0.005,"Pagada",IF(E295&lt;Supuestos!$D$6,"Vencida",IF(E295=Supuestos!$D$6,"Vence hoy","Por vencer")))),"")</f>
        <v/>
      </c>
      <c r="T295" s="46">
        <f>IF(AND(Creditos!$C$10&lt;&gt;"",Creditos!$M$10="OK",50&lt;=Creditos!$H$10),IF(P295&gt;0.005,E295,999999),999999)</f>
        <v>999999</v>
      </c>
    </row>
    <row r="296" ht="25.5" customHeight="1">
      <c r="C296" s="46" t="str">
        <f>IF(AND(Creditos!$C$10&lt;&gt;"",Creditos!$M$10="OK",51&lt;=Creditos!$H$10),Creditos!$C$10,"")</f>
        <v/>
      </c>
      <c r="D296" s="46" t="str">
        <f>IF(AND(Creditos!$C$10&lt;&gt;"",Creditos!$M$10="OK",51&lt;=Creditos!$H$10),51,"")</f>
        <v/>
      </c>
      <c r="E296" s="47" t="str">
        <f>IF(AND(Creditos!$C$10&lt;&gt;"",Creditos!$M$10="OK",51&lt;=Creditos!$H$10),EDATE(Creditos!$I$10,50),"")</f>
        <v/>
      </c>
      <c r="F296" s="48" t="str">
        <f>IF(AND(Creditos!$C$10&lt;&gt;"",Creditos!$M$10="OK",51&lt;=Creditos!$H$10),M295,"")</f>
        <v/>
      </c>
      <c r="G296" s="49" t="str">
        <f>IF(AND(Creditos!$C$10&lt;&gt;"",Creditos!$M$10="OK",51&lt;=Creditos!$H$10),Creditos!$N$10,"")</f>
        <v/>
      </c>
      <c r="H296" s="48" t="str">
        <f>IF(AND(Creditos!$C$10&lt;&gt;"",Creditos!$M$10="OK",51&lt;=Creditos!$H$10),ROUND(F296*G296,2),"")</f>
        <v/>
      </c>
      <c r="I296" s="48" t="str">
        <f>IF(AND(Creditos!$C$10&lt;&gt;"",Creditos!$M$10="OK",51&lt;=Creditos!$H$10),IF(51=Creditos!$H$10,F296+H296,MIN(Creditos!$O$10,F296+H296)),"")</f>
        <v/>
      </c>
      <c r="J296" s="48" t="str">
        <f>IF(AND(Creditos!$C$10&lt;&gt;"",Creditos!$M$10="OK",51&lt;=Creditos!$H$10),MIN(F296,MAX(0,I296-H296)),"")</f>
        <v/>
      </c>
      <c r="K296" s="48" t="str">
        <f>IF(AND(Creditos!$C$10&lt;&gt;"",Creditos!$M$10="OK",51&lt;=Creditos!$H$10),Creditos!$J$10+Creditos!$K$10,"")</f>
        <v/>
      </c>
      <c r="L296" s="48" t="str">
        <f>IF(AND(Creditos!$C$10&lt;&gt;"",Creditos!$M$10="OK",51&lt;=Creditos!$H$10),I296+K296,"")</f>
        <v/>
      </c>
      <c r="M296" s="48" t="str">
        <f>IF(AND(Creditos!$C$10&lt;&gt;"",Creditos!$M$10="OK",51&lt;=Creditos!$H$10),MAX(0,F296-J296),"")</f>
        <v/>
      </c>
      <c r="N296" s="48" t="str">
        <f>IF(AND(Creditos!$C$10&lt;&gt;"",Creditos!$M$10="OK",51&lt;=Creditos!$H$10),SUMIFS(Pagos!$F$6:$F$305,Pagos!$C$6:$C$305,C296,Pagos!$D$6:$D$305,D296,Pagos!$E$6:$E$305,"&lt;="&amp;Supuestos!$D$6,Pagos!$H$6:$H$305,"OK"),"")</f>
        <v/>
      </c>
      <c r="O296" s="48" t="str">
        <f>IF(AND(Creditos!$C$10&lt;&gt;"",Creditos!$M$10="OK",51&lt;=Creditos!$H$10),MIN(J296,MAX(0,N296-K296-H296)),"")</f>
        <v/>
      </c>
      <c r="P296" s="48" t="str">
        <f>IF(AND(Creditos!$C$10&lt;&gt;"",Creditos!$M$10="OK",51&lt;=Creditos!$H$10),MAX(0,L296-N296),"")</f>
        <v/>
      </c>
      <c r="Q296" s="50" t="str">
        <f>IF(AND(Creditos!$C$10&lt;&gt;"",Creditos!$M$10="OK",51&lt;=Creditos!$H$10),IF(AND(E296&lt;Supuestos!$D$6,P296&gt;0.005),Supuestos!$D$6-E296,0),"")</f>
        <v/>
      </c>
      <c r="R296" s="48" t="str">
        <f>IF(AND(Creditos!$C$10&lt;&gt;"",Creditos!$M$10="OK",51&lt;=Creditos!$H$10),MAX(0,N296-L296),"")</f>
        <v/>
      </c>
      <c r="S296" s="46" t="str">
        <f>IF(AND(Creditos!$C$10&lt;&gt;"",Creditos!$M$10="OK",51&lt;=Creditos!$H$10),IF(R296&gt;0.005,"Exceso sin imputar",IF(P296&lt;=0.005,"Pagada",IF(E296&lt;Supuestos!$D$6,"Vencida",IF(E296=Supuestos!$D$6,"Vence hoy","Por vencer")))),"")</f>
        <v/>
      </c>
      <c r="T296" s="46">
        <f>IF(AND(Creditos!$C$10&lt;&gt;"",Creditos!$M$10="OK",51&lt;=Creditos!$H$10),IF(P296&gt;0.005,E296,999999),999999)</f>
        <v>999999</v>
      </c>
    </row>
    <row r="297" ht="25.5" customHeight="1">
      <c r="C297" s="46" t="str">
        <f>IF(AND(Creditos!$C$10&lt;&gt;"",Creditos!$M$10="OK",52&lt;=Creditos!$H$10),Creditos!$C$10,"")</f>
        <v/>
      </c>
      <c r="D297" s="46" t="str">
        <f>IF(AND(Creditos!$C$10&lt;&gt;"",Creditos!$M$10="OK",52&lt;=Creditos!$H$10),52,"")</f>
        <v/>
      </c>
      <c r="E297" s="47" t="str">
        <f>IF(AND(Creditos!$C$10&lt;&gt;"",Creditos!$M$10="OK",52&lt;=Creditos!$H$10),EDATE(Creditos!$I$10,51),"")</f>
        <v/>
      </c>
      <c r="F297" s="48" t="str">
        <f>IF(AND(Creditos!$C$10&lt;&gt;"",Creditos!$M$10="OK",52&lt;=Creditos!$H$10),M296,"")</f>
        <v/>
      </c>
      <c r="G297" s="49" t="str">
        <f>IF(AND(Creditos!$C$10&lt;&gt;"",Creditos!$M$10="OK",52&lt;=Creditos!$H$10),Creditos!$N$10,"")</f>
        <v/>
      </c>
      <c r="H297" s="48" t="str">
        <f>IF(AND(Creditos!$C$10&lt;&gt;"",Creditos!$M$10="OK",52&lt;=Creditos!$H$10),ROUND(F297*G297,2),"")</f>
        <v/>
      </c>
      <c r="I297" s="48" t="str">
        <f>IF(AND(Creditos!$C$10&lt;&gt;"",Creditos!$M$10="OK",52&lt;=Creditos!$H$10),IF(52=Creditos!$H$10,F297+H297,MIN(Creditos!$O$10,F297+H297)),"")</f>
        <v/>
      </c>
      <c r="J297" s="48" t="str">
        <f>IF(AND(Creditos!$C$10&lt;&gt;"",Creditos!$M$10="OK",52&lt;=Creditos!$H$10),MIN(F297,MAX(0,I297-H297)),"")</f>
        <v/>
      </c>
      <c r="K297" s="48" t="str">
        <f>IF(AND(Creditos!$C$10&lt;&gt;"",Creditos!$M$10="OK",52&lt;=Creditos!$H$10),Creditos!$J$10+Creditos!$K$10,"")</f>
        <v/>
      </c>
      <c r="L297" s="48" t="str">
        <f>IF(AND(Creditos!$C$10&lt;&gt;"",Creditos!$M$10="OK",52&lt;=Creditos!$H$10),I297+K297,"")</f>
        <v/>
      </c>
      <c r="M297" s="48" t="str">
        <f>IF(AND(Creditos!$C$10&lt;&gt;"",Creditos!$M$10="OK",52&lt;=Creditos!$H$10),MAX(0,F297-J297),"")</f>
        <v/>
      </c>
      <c r="N297" s="48" t="str">
        <f>IF(AND(Creditos!$C$10&lt;&gt;"",Creditos!$M$10="OK",52&lt;=Creditos!$H$10),SUMIFS(Pagos!$F$6:$F$305,Pagos!$C$6:$C$305,C297,Pagos!$D$6:$D$305,D297,Pagos!$E$6:$E$305,"&lt;="&amp;Supuestos!$D$6,Pagos!$H$6:$H$305,"OK"),"")</f>
        <v/>
      </c>
      <c r="O297" s="48" t="str">
        <f>IF(AND(Creditos!$C$10&lt;&gt;"",Creditos!$M$10="OK",52&lt;=Creditos!$H$10),MIN(J297,MAX(0,N297-K297-H297)),"")</f>
        <v/>
      </c>
      <c r="P297" s="48" t="str">
        <f>IF(AND(Creditos!$C$10&lt;&gt;"",Creditos!$M$10="OK",52&lt;=Creditos!$H$10),MAX(0,L297-N297),"")</f>
        <v/>
      </c>
      <c r="Q297" s="50" t="str">
        <f>IF(AND(Creditos!$C$10&lt;&gt;"",Creditos!$M$10="OK",52&lt;=Creditos!$H$10),IF(AND(E297&lt;Supuestos!$D$6,P297&gt;0.005),Supuestos!$D$6-E297,0),"")</f>
        <v/>
      </c>
      <c r="R297" s="48" t="str">
        <f>IF(AND(Creditos!$C$10&lt;&gt;"",Creditos!$M$10="OK",52&lt;=Creditos!$H$10),MAX(0,N297-L297),"")</f>
        <v/>
      </c>
      <c r="S297" s="46" t="str">
        <f>IF(AND(Creditos!$C$10&lt;&gt;"",Creditos!$M$10="OK",52&lt;=Creditos!$H$10),IF(R297&gt;0.005,"Exceso sin imputar",IF(P297&lt;=0.005,"Pagada",IF(E297&lt;Supuestos!$D$6,"Vencida",IF(E297=Supuestos!$D$6,"Vence hoy","Por vencer")))),"")</f>
        <v/>
      </c>
      <c r="T297" s="46">
        <f>IF(AND(Creditos!$C$10&lt;&gt;"",Creditos!$M$10="OK",52&lt;=Creditos!$H$10),IF(P297&gt;0.005,E297,999999),999999)</f>
        <v>999999</v>
      </c>
    </row>
    <row r="298" ht="25.5" customHeight="1">
      <c r="C298" s="46" t="str">
        <f>IF(AND(Creditos!$C$10&lt;&gt;"",Creditos!$M$10="OK",53&lt;=Creditos!$H$10),Creditos!$C$10,"")</f>
        <v/>
      </c>
      <c r="D298" s="46" t="str">
        <f>IF(AND(Creditos!$C$10&lt;&gt;"",Creditos!$M$10="OK",53&lt;=Creditos!$H$10),53,"")</f>
        <v/>
      </c>
      <c r="E298" s="47" t="str">
        <f>IF(AND(Creditos!$C$10&lt;&gt;"",Creditos!$M$10="OK",53&lt;=Creditos!$H$10),EDATE(Creditos!$I$10,52),"")</f>
        <v/>
      </c>
      <c r="F298" s="48" t="str">
        <f>IF(AND(Creditos!$C$10&lt;&gt;"",Creditos!$M$10="OK",53&lt;=Creditos!$H$10),M297,"")</f>
        <v/>
      </c>
      <c r="G298" s="49" t="str">
        <f>IF(AND(Creditos!$C$10&lt;&gt;"",Creditos!$M$10="OK",53&lt;=Creditos!$H$10),Creditos!$N$10,"")</f>
        <v/>
      </c>
      <c r="H298" s="48" t="str">
        <f>IF(AND(Creditos!$C$10&lt;&gt;"",Creditos!$M$10="OK",53&lt;=Creditos!$H$10),ROUND(F298*G298,2),"")</f>
        <v/>
      </c>
      <c r="I298" s="48" t="str">
        <f>IF(AND(Creditos!$C$10&lt;&gt;"",Creditos!$M$10="OK",53&lt;=Creditos!$H$10),IF(53=Creditos!$H$10,F298+H298,MIN(Creditos!$O$10,F298+H298)),"")</f>
        <v/>
      </c>
      <c r="J298" s="48" t="str">
        <f>IF(AND(Creditos!$C$10&lt;&gt;"",Creditos!$M$10="OK",53&lt;=Creditos!$H$10),MIN(F298,MAX(0,I298-H298)),"")</f>
        <v/>
      </c>
      <c r="K298" s="48" t="str">
        <f>IF(AND(Creditos!$C$10&lt;&gt;"",Creditos!$M$10="OK",53&lt;=Creditos!$H$10),Creditos!$J$10+Creditos!$K$10,"")</f>
        <v/>
      </c>
      <c r="L298" s="48" t="str">
        <f>IF(AND(Creditos!$C$10&lt;&gt;"",Creditos!$M$10="OK",53&lt;=Creditos!$H$10),I298+K298,"")</f>
        <v/>
      </c>
      <c r="M298" s="48" t="str">
        <f>IF(AND(Creditos!$C$10&lt;&gt;"",Creditos!$M$10="OK",53&lt;=Creditos!$H$10),MAX(0,F298-J298),"")</f>
        <v/>
      </c>
      <c r="N298" s="48" t="str">
        <f>IF(AND(Creditos!$C$10&lt;&gt;"",Creditos!$M$10="OK",53&lt;=Creditos!$H$10),SUMIFS(Pagos!$F$6:$F$305,Pagos!$C$6:$C$305,C298,Pagos!$D$6:$D$305,D298,Pagos!$E$6:$E$305,"&lt;="&amp;Supuestos!$D$6,Pagos!$H$6:$H$305,"OK"),"")</f>
        <v/>
      </c>
      <c r="O298" s="48" t="str">
        <f>IF(AND(Creditos!$C$10&lt;&gt;"",Creditos!$M$10="OK",53&lt;=Creditos!$H$10),MIN(J298,MAX(0,N298-K298-H298)),"")</f>
        <v/>
      </c>
      <c r="P298" s="48" t="str">
        <f>IF(AND(Creditos!$C$10&lt;&gt;"",Creditos!$M$10="OK",53&lt;=Creditos!$H$10),MAX(0,L298-N298),"")</f>
        <v/>
      </c>
      <c r="Q298" s="50" t="str">
        <f>IF(AND(Creditos!$C$10&lt;&gt;"",Creditos!$M$10="OK",53&lt;=Creditos!$H$10),IF(AND(E298&lt;Supuestos!$D$6,P298&gt;0.005),Supuestos!$D$6-E298,0),"")</f>
        <v/>
      </c>
      <c r="R298" s="48" t="str">
        <f>IF(AND(Creditos!$C$10&lt;&gt;"",Creditos!$M$10="OK",53&lt;=Creditos!$H$10),MAX(0,N298-L298),"")</f>
        <v/>
      </c>
      <c r="S298" s="46" t="str">
        <f>IF(AND(Creditos!$C$10&lt;&gt;"",Creditos!$M$10="OK",53&lt;=Creditos!$H$10),IF(R298&gt;0.005,"Exceso sin imputar",IF(P298&lt;=0.005,"Pagada",IF(E298&lt;Supuestos!$D$6,"Vencida",IF(E298=Supuestos!$D$6,"Vence hoy","Por vencer")))),"")</f>
        <v/>
      </c>
      <c r="T298" s="46">
        <f>IF(AND(Creditos!$C$10&lt;&gt;"",Creditos!$M$10="OK",53&lt;=Creditos!$H$10),IF(P298&gt;0.005,E298,999999),999999)</f>
        <v>999999</v>
      </c>
    </row>
    <row r="299" ht="25.5" customHeight="1">
      <c r="C299" s="46" t="str">
        <f>IF(AND(Creditos!$C$10&lt;&gt;"",Creditos!$M$10="OK",54&lt;=Creditos!$H$10),Creditos!$C$10,"")</f>
        <v/>
      </c>
      <c r="D299" s="46" t="str">
        <f>IF(AND(Creditos!$C$10&lt;&gt;"",Creditos!$M$10="OK",54&lt;=Creditos!$H$10),54,"")</f>
        <v/>
      </c>
      <c r="E299" s="47" t="str">
        <f>IF(AND(Creditos!$C$10&lt;&gt;"",Creditos!$M$10="OK",54&lt;=Creditos!$H$10),EDATE(Creditos!$I$10,53),"")</f>
        <v/>
      </c>
      <c r="F299" s="48" t="str">
        <f>IF(AND(Creditos!$C$10&lt;&gt;"",Creditos!$M$10="OK",54&lt;=Creditos!$H$10),M298,"")</f>
        <v/>
      </c>
      <c r="G299" s="49" t="str">
        <f>IF(AND(Creditos!$C$10&lt;&gt;"",Creditos!$M$10="OK",54&lt;=Creditos!$H$10),Creditos!$N$10,"")</f>
        <v/>
      </c>
      <c r="H299" s="48" t="str">
        <f>IF(AND(Creditos!$C$10&lt;&gt;"",Creditos!$M$10="OK",54&lt;=Creditos!$H$10),ROUND(F299*G299,2),"")</f>
        <v/>
      </c>
      <c r="I299" s="48" t="str">
        <f>IF(AND(Creditos!$C$10&lt;&gt;"",Creditos!$M$10="OK",54&lt;=Creditos!$H$10),IF(54=Creditos!$H$10,F299+H299,MIN(Creditos!$O$10,F299+H299)),"")</f>
        <v/>
      </c>
      <c r="J299" s="48" t="str">
        <f>IF(AND(Creditos!$C$10&lt;&gt;"",Creditos!$M$10="OK",54&lt;=Creditos!$H$10),MIN(F299,MAX(0,I299-H299)),"")</f>
        <v/>
      </c>
      <c r="K299" s="48" t="str">
        <f>IF(AND(Creditos!$C$10&lt;&gt;"",Creditos!$M$10="OK",54&lt;=Creditos!$H$10),Creditos!$J$10+Creditos!$K$10,"")</f>
        <v/>
      </c>
      <c r="L299" s="48" t="str">
        <f>IF(AND(Creditos!$C$10&lt;&gt;"",Creditos!$M$10="OK",54&lt;=Creditos!$H$10),I299+K299,"")</f>
        <v/>
      </c>
      <c r="M299" s="48" t="str">
        <f>IF(AND(Creditos!$C$10&lt;&gt;"",Creditos!$M$10="OK",54&lt;=Creditos!$H$10),MAX(0,F299-J299),"")</f>
        <v/>
      </c>
      <c r="N299" s="48" t="str">
        <f>IF(AND(Creditos!$C$10&lt;&gt;"",Creditos!$M$10="OK",54&lt;=Creditos!$H$10),SUMIFS(Pagos!$F$6:$F$305,Pagos!$C$6:$C$305,C299,Pagos!$D$6:$D$305,D299,Pagos!$E$6:$E$305,"&lt;="&amp;Supuestos!$D$6,Pagos!$H$6:$H$305,"OK"),"")</f>
        <v/>
      </c>
      <c r="O299" s="48" t="str">
        <f>IF(AND(Creditos!$C$10&lt;&gt;"",Creditos!$M$10="OK",54&lt;=Creditos!$H$10),MIN(J299,MAX(0,N299-K299-H299)),"")</f>
        <v/>
      </c>
      <c r="P299" s="48" t="str">
        <f>IF(AND(Creditos!$C$10&lt;&gt;"",Creditos!$M$10="OK",54&lt;=Creditos!$H$10),MAX(0,L299-N299),"")</f>
        <v/>
      </c>
      <c r="Q299" s="50" t="str">
        <f>IF(AND(Creditos!$C$10&lt;&gt;"",Creditos!$M$10="OK",54&lt;=Creditos!$H$10),IF(AND(E299&lt;Supuestos!$D$6,P299&gt;0.005),Supuestos!$D$6-E299,0),"")</f>
        <v/>
      </c>
      <c r="R299" s="48" t="str">
        <f>IF(AND(Creditos!$C$10&lt;&gt;"",Creditos!$M$10="OK",54&lt;=Creditos!$H$10),MAX(0,N299-L299),"")</f>
        <v/>
      </c>
      <c r="S299" s="46" t="str">
        <f>IF(AND(Creditos!$C$10&lt;&gt;"",Creditos!$M$10="OK",54&lt;=Creditos!$H$10),IF(R299&gt;0.005,"Exceso sin imputar",IF(P299&lt;=0.005,"Pagada",IF(E299&lt;Supuestos!$D$6,"Vencida",IF(E299=Supuestos!$D$6,"Vence hoy","Por vencer")))),"")</f>
        <v/>
      </c>
      <c r="T299" s="46">
        <f>IF(AND(Creditos!$C$10&lt;&gt;"",Creditos!$M$10="OK",54&lt;=Creditos!$H$10),IF(P299&gt;0.005,E299,999999),999999)</f>
        <v>999999</v>
      </c>
    </row>
    <row r="300" ht="25.5" customHeight="1">
      <c r="C300" s="46" t="str">
        <f>IF(AND(Creditos!$C$10&lt;&gt;"",Creditos!$M$10="OK",55&lt;=Creditos!$H$10),Creditos!$C$10,"")</f>
        <v/>
      </c>
      <c r="D300" s="46" t="str">
        <f>IF(AND(Creditos!$C$10&lt;&gt;"",Creditos!$M$10="OK",55&lt;=Creditos!$H$10),55,"")</f>
        <v/>
      </c>
      <c r="E300" s="47" t="str">
        <f>IF(AND(Creditos!$C$10&lt;&gt;"",Creditos!$M$10="OK",55&lt;=Creditos!$H$10),EDATE(Creditos!$I$10,54),"")</f>
        <v/>
      </c>
      <c r="F300" s="48" t="str">
        <f>IF(AND(Creditos!$C$10&lt;&gt;"",Creditos!$M$10="OK",55&lt;=Creditos!$H$10),M299,"")</f>
        <v/>
      </c>
      <c r="G300" s="49" t="str">
        <f>IF(AND(Creditos!$C$10&lt;&gt;"",Creditos!$M$10="OK",55&lt;=Creditos!$H$10),Creditos!$N$10,"")</f>
        <v/>
      </c>
      <c r="H300" s="48" t="str">
        <f>IF(AND(Creditos!$C$10&lt;&gt;"",Creditos!$M$10="OK",55&lt;=Creditos!$H$10),ROUND(F300*G300,2),"")</f>
        <v/>
      </c>
      <c r="I300" s="48" t="str">
        <f>IF(AND(Creditos!$C$10&lt;&gt;"",Creditos!$M$10="OK",55&lt;=Creditos!$H$10),IF(55=Creditos!$H$10,F300+H300,MIN(Creditos!$O$10,F300+H300)),"")</f>
        <v/>
      </c>
      <c r="J300" s="48" t="str">
        <f>IF(AND(Creditos!$C$10&lt;&gt;"",Creditos!$M$10="OK",55&lt;=Creditos!$H$10),MIN(F300,MAX(0,I300-H300)),"")</f>
        <v/>
      </c>
      <c r="K300" s="48" t="str">
        <f>IF(AND(Creditos!$C$10&lt;&gt;"",Creditos!$M$10="OK",55&lt;=Creditos!$H$10),Creditos!$J$10+Creditos!$K$10,"")</f>
        <v/>
      </c>
      <c r="L300" s="48" t="str">
        <f>IF(AND(Creditos!$C$10&lt;&gt;"",Creditos!$M$10="OK",55&lt;=Creditos!$H$10),I300+K300,"")</f>
        <v/>
      </c>
      <c r="M300" s="48" t="str">
        <f>IF(AND(Creditos!$C$10&lt;&gt;"",Creditos!$M$10="OK",55&lt;=Creditos!$H$10),MAX(0,F300-J300),"")</f>
        <v/>
      </c>
      <c r="N300" s="48" t="str">
        <f>IF(AND(Creditos!$C$10&lt;&gt;"",Creditos!$M$10="OK",55&lt;=Creditos!$H$10),SUMIFS(Pagos!$F$6:$F$305,Pagos!$C$6:$C$305,C300,Pagos!$D$6:$D$305,D300,Pagos!$E$6:$E$305,"&lt;="&amp;Supuestos!$D$6,Pagos!$H$6:$H$305,"OK"),"")</f>
        <v/>
      </c>
      <c r="O300" s="48" t="str">
        <f>IF(AND(Creditos!$C$10&lt;&gt;"",Creditos!$M$10="OK",55&lt;=Creditos!$H$10),MIN(J300,MAX(0,N300-K300-H300)),"")</f>
        <v/>
      </c>
      <c r="P300" s="48" t="str">
        <f>IF(AND(Creditos!$C$10&lt;&gt;"",Creditos!$M$10="OK",55&lt;=Creditos!$H$10),MAX(0,L300-N300),"")</f>
        <v/>
      </c>
      <c r="Q300" s="50" t="str">
        <f>IF(AND(Creditos!$C$10&lt;&gt;"",Creditos!$M$10="OK",55&lt;=Creditos!$H$10),IF(AND(E300&lt;Supuestos!$D$6,P300&gt;0.005),Supuestos!$D$6-E300,0),"")</f>
        <v/>
      </c>
      <c r="R300" s="48" t="str">
        <f>IF(AND(Creditos!$C$10&lt;&gt;"",Creditos!$M$10="OK",55&lt;=Creditos!$H$10),MAX(0,N300-L300),"")</f>
        <v/>
      </c>
      <c r="S300" s="46" t="str">
        <f>IF(AND(Creditos!$C$10&lt;&gt;"",Creditos!$M$10="OK",55&lt;=Creditos!$H$10),IF(R300&gt;0.005,"Exceso sin imputar",IF(P300&lt;=0.005,"Pagada",IF(E300&lt;Supuestos!$D$6,"Vencida",IF(E300=Supuestos!$D$6,"Vence hoy","Por vencer")))),"")</f>
        <v/>
      </c>
      <c r="T300" s="46">
        <f>IF(AND(Creditos!$C$10&lt;&gt;"",Creditos!$M$10="OK",55&lt;=Creditos!$H$10),IF(P300&gt;0.005,E300,999999),999999)</f>
        <v>999999</v>
      </c>
    </row>
    <row r="301" ht="25.5" customHeight="1">
      <c r="C301" s="46" t="str">
        <f>IF(AND(Creditos!$C$10&lt;&gt;"",Creditos!$M$10="OK",56&lt;=Creditos!$H$10),Creditos!$C$10,"")</f>
        <v/>
      </c>
      <c r="D301" s="46" t="str">
        <f>IF(AND(Creditos!$C$10&lt;&gt;"",Creditos!$M$10="OK",56&lt;=Creditos!$H$10),56,"")</f>
        <v/>
      </c>
      <c r="E301" s="47" t="str">
        <f>IF(AND(Creditos!$C$10&lt;&gt;"",Creditos!$M$10="OK",56&lt;=Creditos!$H$10),EDATE(Creditos!$I$10,55),"")</f>
        <v/>
      </c>
      <c r="F301" s="48" t="str">
        <f>IF(AND(Creditos!$C$10&lt;&gt;"",Creditos!$M$10="OK",56&lt;=Creditos!$H$10),M300,"")</f>
        <v/>
      </c>
      <c r="G301" s="49" t="str">
        <f>IF(AND(Creditos!$C$10&lt;&gt;"",Creditos!$M$10="OK",56&lt;=Creditos!$H$10),Creditos!$N$10,"")</f>
        <v/>
      </c>
      <c r="H301" s="48" t="str">
        <f>IF(AND(Creditos!$C$10&lt;&gt;"",Creditos!$M$10="OK",56&lt;=Creditos!$H$10),ROUND(F301*G301,2),"")</f>
        <v/>
      </c>
      <c r="I301" s="48" t="str">
        <f>IF(AND(Creditos!$C$10&lt;&gt;"",Creditos!$M$10="OK",56&lt;=Creditos!$H$10),IF(56=Creditos!$H$10,F301+H301,MIN(Creditos!$O$10,F301+H301)),"")</f>
        <v/>
      </c>
      <c r="J301" s="48" t="str">
        <f>IF(AND(Creditos!$C$10&lt;&gt;"",Creditos!$M$10="OK",56&lt;=Creditos!$H$10),MIN(F301,MAX(0,I301-H301)),"")</f>
        <v/>
      </c>
      <c r="K301" s="48" t="str">
        <f>IF(AND(Creditos!$C$10&lt;&gt;"",Creditos!$M$10="OK",56&lt;=Creditos!$H$10),Creditos!$J$10+Creditos!$K$10,"")</f>
        <v/>
      </c>
      <c r="L301" s="48" t="str">
        <f>IF(AND(Creditos!$C$10&lt;&gt;"",Creditos!$M$10="OK",56&lt;=Creditos!$H$10),I301+K301,"")</f>
        <v/>
      </c>
      <c r="M301" s="48" t="str">
        <f>IF(AND(Creditos!$C$10&lt;&gt;"",Creditos!$M$10="OK",56&lt;=Creditos!$H$10),MAX(0,F301-J301),"")</f>
        <v/>
      </c>
      <c r="N301" s="48" t="str">
        <f>IF(AND(Creditos!$C$10&lt;&gt;"",Creditos!$M$10="OK",56&lt;=Creditos!$H$10),SUMIFS(Pagos!$F$6:$F$305,Pagos!$C$6:$C$305,C301,Pagos!$D$6:$D$305,D301,Pagos!$E$6:$E$305,"&lt;="&amp;Supuestos!$D$6,Pagos!$H$6:$H$305,"OK"),"")</f>
        <v/>
      </c>
      <c r="O301" s="48" t="str">
        <f>IF(AND(Creditos!$C$10&lt;&gt;"",Creditos!$M$10="OK",56&lt;=Creditos!$H$10),MIN(J301,MAX(0,N301-K301-H301)),"")</f>
        <v/>
      </c>
      <c r="P301" s="48" t="str">
        <f>IF(AND(Creditos!$C$10&lt;&gt;"",Creditos!$M$10="OK",56&lt;=Creditos!$H$10),MAX(0,L301-N301),"")</f>
        <v/>
      </c>
      <c r="Q301" s="50" t="str">
        <f>IF(AND(Creditos!$C$10&lt;&gt;"",Creditos!$M$10="OK",56&lt;=Creditos!$H$10),IF(AND(E301&lt;Supuestos!$D$6,P301&gt;0.005),Supuestos!$D$6-E301,0),"")</f>
        <v/>
      </c>
      <c r="R301" s="48" t="str">
        <f>IF(AND(Creditos!$C$10&lt;&gt;"",Creditos!$M$10="OK",56&lt;=Creditos!$H$10),MAX(0,N301-L301),"")</f>
        <v/>
      </c>
      <c r="S301" s="46" t="str">
        <f>IF(AND(Creditos!$C$10&lt;&gt;"",Creditos!$M$10="OK",56&lt;=Creditos!$H$10),IF(R301&gt;0.005,"Exceso sin imputar",IF(P301&lt;=0.005,"Pagada",IF(E301&lt;Supuestos!$D$6,"Vencida",IF(E301=Supuestos!$D$6,"Vence hoy","Por vencer")))),"")</f>
        <v/>
      </c>
      <c r="T301" s="46">
        <f>IF(AND(Creditos!$C$10&lt;&gt;"",Creditos!$M$10="OK",56&lt;=Creditos!$H$10),IF(P301&gt;0.005,E301,999999),999999)</f>
        <v>999999</v>
      </c>
    </row>
    <row r="302" ht="25.5" customHeight="1">
      <c r="C302" s="46" t="str">
        <f>IF(AND(Creditos!$C$10&lt;&gt;"",Creditos!$M$10="OK",57&lt;=Creditos!$H$10),Creditos!$C$10,"")</f>
        <v/>
      </c>
      <c r="D302" s="46" t="str">
        <f>IF(AND(Creditos!$C$10&lt;&gt;"",Creditos!$M$10="OK",57&lt;=Creditos!$H$10),57,"")</f>
        <v/>
      </c>
      <c r="E302" s="47" t="str">
        <f>IF(AND(Creditos!$C$10&lt;&gt;"",Creditos!$M$10="OK",57&lt;=Creditos!$H$10),EDATE(Creditos!$I$10,56),"")</f>
        <v/>
      </c>
      <c r="F302" s="48" t="str">
        <f>IF(AND(Creditos!$C$10&lt;&gt;"",Creditos!$M$10="OK",57&lt;=Creditos!$H$10),M301,"")</f>
        <v/>
      </c>
      <c r="G302" s="49" t="str">
        <f>IF(AND(Creditos!$C$10&lt;&gt;"",Creditos!$M$10="OK",57&lt;=Creditos!$H$10),Creditos!$N$10,"")</f>
        <v/>
      </c>
      <c r="H302" s="48" t="str">
        <f>IF(AND(Creditos!$C$10&lt;&gt;"",Creditos!$M$10="OK",57&lt;=Creditos!$H$10),ROUND(F302*G302,2),"")</f>
        <v/>
      </c>
      <c r="I302" s="48" t="str">
        <f>IF(AND(Creditos!$C$10&lt;&gt;"",Creditos!$M$10="OK",57&lt;=Creditos!$H$10),IF(57=Creditos!$H$10,F302+H302,MIN(Creditos!$O$10,F302+H302)),"")</f>
        <v/>
      </c>
      <c r="J302" s="48" t="str">
        <f>IF(AND(Creditos!$C$10&lt;&gt;"",Creditos!$M$10="OK",57&lt;=Creditos!$H$10),MIN(F302,MAX(0,I302-H302)),"")</f>
        <v/>
      </c>
      <c r="K302" s="48" t="str">
        <f>IF(AND(Creditos!$C$10&lt;&gt;"",Creditos!$M$10="OK",57&lt;=Creditos!$H$10),Creditos!$J$10+Creditos!$K$10,"")</f>
        <v/>
      </c>
      <c r="L302" s="48" t="str">
        <f>IF(AND(Creditos!$C$10&lt;&gt;"",Creditos!$M$10="OK",57&lt;=Creditos!$H$10),I302+K302,"")</f>
        <v/>
      </c>
      <c r="M302" s="48" t="str">
        <f>IF(AND(Creditos!$C$10&lt;&gt;"",Creditos!$M$10="OK",57&lt;=Creditos!$H$10),MAX(0,F302-J302),"")</f>
        <v/>
      </c>
      <c r="N302" s="48" t="str">
        <f>IF(AND(Creditos!$C$10&lt;&gt;"",Creditos!$M$10="OK",57&lt;=Creditos!$H$10),SUMIFS(Pagos!$F$6:$F$305,Pagos!$C$6:$C$305,C302,Pagos!$D$6:$D$305,D302,Pagos!$E$6:$E$305,"&lt;="&amp;Supuestos!$D$6,Pagos!$H$6:$H$305,"OK"),"")</f>
        <v/>
      </c>
      <c r="O302" s="48" t="str">
        <f>IF(AND(Creditos!$C$10&lt;&gt;"",Creditos!$M$10="OK",57&lt;=Creditos!$H$10),MIN(J302,MAX(0,N302-K302-H302)),"")</f>
        <v/>
      </c>
      <c r="P302" s="48" t="str">
        <f>IF(AND(Creditos!$C$10&lt;&gt;"",Creditos!$M$10="OK",57&lt;=Creditos!$H$10),MAX(0,L302-N302),"")</f>
        <v/>
      </c>
      <c r="Q302" s="50" t="str">
        <f>IF(AND(Creditos!$C$10&lt;&gt;"",Creditos!$M$10="OK",57&lt;=Creditos!$H$10),IF(AND(E302&lt;Supuestos!$D$6,P302&gt;0.005),Supuestos!$D$6-E302,0),"")</f>
        <v/>
      </c>
      <c r="R302" s="48" t="str">
        <f>IF(AND(Creditos!$C$10&lt;&gt;"",Creditos!$M$10="OK",57&lt;=Creditos!$H$10),MAX(0,N302-L302),"")</f>
        <v/>
      </c>
      <c r="S302" s="46" t="str">
        <f>IF(AND(Creditos!$C$10&lt;&gt;"",Creditos!$M$10="OK",57&lt;=Creditos!$H$10),IF(R302&gt;0.005,"Exceso sin imputar",IF(P302&lt;=0.005,"Pagada",IF(E302&lt;Supuestos!$D$6,"Vencida",IF(E302=Supuestos!$D$6,"Vence hoy","Por vencer")))),"")</f>
        <v/>
      </c>
      <c r="T302" s="46">
        <f>IF(AND(Creditos!$C$10&lt;&gt;"",Creditos!$M$10="OK",57&lt;=Creditos!$H$10),IF(P302&gt;0.005,E302,999999),999999)</f>
        <v>999999</v>
      </c>
    </row>
    <row r="303" ht="25.5" customHeight="1">
      <c r="C303" s="46" t="str">
        <f>IF(AND(Creditos!$C$10&lt;&gt;"",Creditos!$M$10="OK",58&lt;=Creditos!$H$10),Creditos!$C$10,"")</f>
        <v/>
      </c>
      <c r="D303" s="46" t="str">
        <f>IF(AND(Creditos!$C$10&lt;&gt;"",Creditos!$M$10="OK",58&lt;=Creditos!$H$10),58,"")</f>
        <v/>
      </c>
      <c r="E303" s="47" t="str">
        <f>IF(AND(Creditos!$C$10&lt;&gt;"",Creditos!$M$10="OK",58&lt;=Creditos!$H$10),EDATE(Creditos!$I$10,57),"")</f>
        <v/>
      </c>
      <c r="F303" s="48" t="str">
        <f>IF(AND(Creditos!$C$10&lt;&gt;"",Creditos!$M$10="OK",58&lt;=Creditos!$H$10),M302,"")</f>
        <v/>
      </c>
      <c r="G303" s="49" t="str">
        <f>IF(AND(Creditos!$C$10&lt;&gt;"",Creditos!$M$10="OK",58&lt;=Creditos!$H$10),Creditos!$N$10,"")</f>
        <v/>
      </c>
      <c r="H303" s="48" t="str">
        <f>IF(AND(Creditos!$C$10&lt;&gt;"",Creditos!$M$10="OK",58&lt;=Creditos!$H$10),ROUND(F303*G303,2),"")</f>
        <v/>
      </c>
      <c r="I303" s="48" t="str">
        <f>IF(AND(Creditos!$C$10&lt;&gt;"",Creditos!$M$10="OK",58&lt;=Creditos!$H$10),IF(58=Creditos!$H$10,F303+H303,MIN(Creditos!$O$10,F303+H303)),"")</f>
        <v/>
      </c>
      <c r="J303" s="48" t="str">
        <f>IF(AND(Creditos!$C$10&lt;&gt;"",Creditos!$M$10="OK",58&lt;=Creditos!$H$10),MIN(F303,MAX(0,I303-H303)),"")</f>
        <v/>
      </c>
      <c r="K303" s="48" t="str">
        <f>IF(AND(Creditos!$C$10&lt;&gt;"",Creditos!$M$10="OK",58&lt;=Creditos!$H$10),Creditos!$J$10+Creditos!$K$10,"")</f>
        <v/>
      </c>
      <c r="L303" s="48" t="str">
        <f>IF(AND(Creditos!$C$10&lt;&gt;"",Creditos!$M$10="OK",58&lt;=Creditos!$H$10),I303+K303,"")</f>
        <v/>
      </c>
      <c r="M303" s="48" t="str">
        <f>IF(AND(Creditos!$C$10&lt;&gt;"",Creditos!$M$10="OK",58&lt;=Creditos!$H$10),MAX(0,F303-J303),"")</f>
        <v/>
      </c>
      <c r="N303" s="48" t="str">
        <f>IF(AND(Creditos!$C$10&lt;&gt;"",Creditos!$M$10="OK",58&lt;=Creditos!$H$10),SUMIFS(Pagos!$F$6:$F$305,Pagos!$C$6:$C$305,C303,Pagos!$D$6:$D$305,D303,Pagos!$E$6:$E$305,"&lt;="&amp;Supuestos!$D$6,Pagos!$H$6:$H$305,"OK"),"")</f>
        <v/>
      </c>
      <c r="O303" s="48" t="str">
        <f>IF(AND(Creditos!$C$10&lt;&gt;"",Creditos!$M$10="OK",58&lt;=Creditos!$H$10),MIN(J303,MAX(0,N303-K303-H303)),"")</f>
        <v/>
      </c>
      <c r="P303" s="48" t="str">
        <f>IF(AND(Creditos!$C$10&lt;&gt;"",Creditos!$M$10="OK",58&lt;=Creditos!$H$10),MAX(0,L303-N303),"")</f>
        <v/>
      </c>
      <c r="Q303" s="50" t="str">
        <f>IF(AND(Creditos!$C$10&lt;&gt;"",Creditos!$M$10="OK",58&lt;=Creditos!$H$10),IF(AND(E303&lt;Supuestos!$D$6,P303&gt;0.005),Supuestos!$D$6-E303,0),"")</f>
        <v/>
      </c>
      <c r="R303" s="48" t="str">
        <f>IF(AND(Creditos!$C$10&lt;&gt;"",Creditos!$M$10="OK",58&lt;=Creditos!$H$10),MAX(0,N303-L303),"")</f>
        <v/>
      </c>
      <c r="S303" s="46" t="str">
        <f>IF(AND(Creditos!$C$10&lt;&gt;"",Creditos!$M$10="OK",58&lt;=Creditos!$H$10),IF(R303&gt;0.005,"Exceso sin imputar",IF(P303&lt;=0.005,"Pagada",IF(E303&lt;Supuestos!$D$6,"Vencida",IF(E303=Supuestos!$D$6,"Vence hoy","Por vencer")))),"")</f>
        <v/>
      </c>
      <c r="T303" s="46">
        <f>IF(AND(Creditos!$C$10&lt;&gt;"",Creditos!$M$10="OK",58&lt;=Creditos!$H$10),IF(P303&gt;0.005,E303,999999),999999)</f>
        <v>999999</v>
      </c>
    </row>
    <row r="304" ht="25.5" customHeight="1">
      <c r="C304" s="46" t="str">
        <f>IF(AND(Creditos!$C$10&lt;&gt;"",Creditos!$M$10="OK",59&lt;=Creditos!$H$10),Creditos!$C$10,"")</f>
        <v/>
      </c>
      <c r="D304" s="46" t="str">
        <f>IF(AND(Creditos!$C$10&lt;&gt;"",Creditos!$M$10="OK",59&lt;=Creditos!$H$10),59,"")</f>
        <v/>
      </c>
      <c r="E304" s="47" t="str">
        <f>IF(AND(Creditos!$C$10&lt;&gt;"",Creditos!$M$10="OK",59&lt;=Creditos!$H$10),EDATE(Creditos!$I$10,58),"")</f>
        <v/>
      </c>
      <c r="F304" s="48" t="str">
        <f>IF(AND(Creditos!$C$10&lt;&gt;"",Creditos!$M$10="OK",59&lt;=Creditos!$H$10),M303,"")</f>
        <v/>
      </c>
      <c r="G304" s="49" t="str">
        <f>IF(AND(Creditos!$C$10&lt;&gt;"",Creditos!$M$10="OK",59&lt;=Creditos!$H$10),Creditos!$N$10,"")</f>
        <v/>
      </c>
      <c r="H304" s="48" t="str">
        <f>IF(AND(Creditos!$C$10&lt;&gt;"",Creditos!$M$10="OK",59&lt;=Creditos!$H$10),ROUND(F304*G304,2),"")</f>
        <v/>
      </c>
      <c r="I304" s="48" t="str">
        <f>IF(AND(Creditos!$C$10&lt;&gt;"",Creditos!$M$10="OK",59&lt;=Creditos!$H$10),IF(59=Creditos!$H$10,F304+H304,MIN(Creditos!$O$10,F304+H304)),"")</f>
        <v/>
      </c>
      <c r="J304" s="48" t="str">
        <f>IF(AND(Creditos!$C$10&lt;&gt;"",Creditos!$M$10="OK",59&lt;=Creditos!$H$10),MIN(F304,MAX(0,I304-H304)),"")</f>
        <v/>
      </c>
      <c r="K304" s="48" t="str">
        <f>IF(AND(Creditos!$C$10&lt;&gt;"",Creditos!$M$10="OK",59&lt;=Creditos!$H$10),Creditos!$J$10+Creditos!$K$10,"")</f>
        <v/>
      </c>
      <c r="L304" s="48" t="str">
        <f>IF(AND(Creditos!$C$10&lt;&gt;"",Creditos!$M$10="OK",59&lt;=Creditos!$H$10),I304+K304,"")</f>
        <v/>
      </c>
      <c r="M304" s="48" t="str">
        <f>IF(AND(Creditos!$C$10&lt;&gt;"",Creditos!$M$10="OK",59&lt;=Creditos!$H$10),MAX(0,F304-J304),"")</f>
        <v/>
      </c>
      <c r="N304" s="48" t="str">
        <f>IF(AND(Creditos!$C$10&lt;&gt;"",Creditos!$M$10="OK",59&lt;=Creditos!$H$10),SUMIFS(Pagos!$F$6:$F$305,Pagos!$C$6:$C$305,C304,Pagos!$D$6:$D$305,D304,Pagos!$E$6:$E$305,"&lt;="&amp;Supuestos!$D$6,Pagos!$H$6:$H$305,"OK"),"")</f>
        <v/>
      </c>
      <c r="O304" s="48" t="str">
        <f>IF(AND(Creditos!$C$10&lt;&gt;"",Creditos!$M$10="OK",59&lt;=Creditos!$H$10),MIN(J304,MAX(0,N304-K304-H304)),"")</f>
        <v/>
      </c>
      <c r="P304" s="48" t="str">
        <f>IF(AND(Creditos!$C$10&lt;&gt;"",Creditos!$M$10="OK",59&lt;=Creditos!$H$10),MAX(0,L304-N304),"")</f>
        <v/>
      </c>
      <c r="Q304" s="50" t="str">
        <f>IF(AND(Creditos!$C$10&lt;&gt;"",Creditos!$M$10="OK",59&lt;=Creditos!$H$10),IF(AND(E304&lt;Supuestos!$D$6,P304&gt;0.005),Supuestos!$D$6-E304,0),"")</f>
        <v/>
      </c>
      <c r="R304" s="48" t="str">
        <f>IF(AND(Creditos!$C$10&lt;&gt;"",Creditos!$M$10="OK",59&lt;=Creditos!$H$10),MAX(0,N304-L304),"")</f>
        <v/>
      </c>
      <c r="S304" s="46" t="str">
        <f>IF(AND(Creditos!$C$10&lt;&gt;"",Creditos!$M$10="OK",59&lt;=Creditos!$H$10),IF(R304&gt;0.005,"Exceso sin imputar",IF(P304&lt;=0.005,"Pagada",IF(E304&lt;Supuestos!$D$6,"Vencida",IF(E304=Supuestos!$D$6,"Vence hoy","Por vencer")))),"")</f>
        <v/>
      </c>
      <c r="T304" s="46">
        <f>IF(AND(Creditos!$C$10&lt;&gt;"",Creditos!$M$10="OK",59&lt;=Creditos!$H$10),IF(P304&gt;0.005,E304,999999),999999)</f>
        <v>999999</v>
      </c>
    </row>
    <row r="305" ht="25.5" customHeight="1">
      <c r="C305" s="46" t="str">
        <f>IF(AND(Creditos!$C$10&lt;&gt;"",Creditos!$M$10="OK",60&lt;=Creditos!$H$10),Creditos!$C$10,"")</f>
        <v/>
      </c>
      <c r="D305" s="46" t="str">
        <f>IF(AND(Creditos!$C$10&lt;&gt;"",Creditos!$M$10="OK",60&lt;=Creditos!$H$10),60,"")</f>
        <v/>
      </c>
      <c r="E305" s="47" t="str">
        <f>IF(AND(Creditos!$C$10&lt;&gt;"",Creditos!$M$10="OK",60&lt;=Creditos!$H$10),EDATE(Creditos!$I$10,59),"")</f>
        <v/>
      </c>
      <c r="F305" s="48" t="str">
        <f>IF(AND(Creditos!$C$10&lt;&gt;"",Creditos!$M$10="OK",60&lt;=Creditos!$H$10),M304,"")</f>
        <v/>
      </c>
      <c r="G305" s="49" t="str">
        <f>IF(AND(Creditos!$C$10&lt;&gt;"",Creditos!$M$10="OK",60&lt;=Creditos!$H$10),Creditos!$N$10,"")</f>
        <v/>
      </c>
      <c r="H305" s="48" t="str">
        <f>IF(AND(Creditos!$C$10&lt;&gt;"",Creditos!$M$10="OK",60&lt;=Creditos!$H$10),ROUND(F305*G305,2),"")</f>
        <v/>
      </c>
      <c r="I305" s="48" t="str">
        <f>IF(AND(Creditos!$C$10&lt;&gt;"",Creditos!$M$10="OK",60&lt;=Creditos!$H$10),IF(60=Creditos!$H$10,F305+H305,MIN(Creditos!$O$10,F305+H305)),"")</f>
        <v/>
      </c>
      <c r="J305" s="48" t="str">
        <f>IF(AND(Creditos!$C$10&lt;&gt;"",Creditos!$M$10="OK",60&lt;=Creditos!$H$10),MIN(F305,MAX(0,I305-H305)),"")</f>
        <v/>
      </c>
      <c r="K305" s="48" t="str">
        <f>IF(AND(Creditos!$C$10&lt;&gt;"",Creditos!$M$10="OK",60&lt;=Creditos!$H$10),Creditos!$J$10+Creditos!$K$10,"")</f>
        <v/>
      </c>
      <c r="L305" s="48" t="str">
        <f>IF(AND(Creditos!$C$10&lt;&gt;"",Creditos!$M$10="OK",60&lt;=Creditos!$H$10),I305+K305,"")</f>
        <v/>
      </c>
      <c r="M305" s="48" t="str">
        <f>IF(AND(Creditos!$C$10&lt;&gt;"",Creditos!$M$10="OK",60&lt;=Creditos!$H$10),MAX(0,F305-J305),"")</f>
        <v/>
      </c>
      <c r="N305" s="48" t="str">
        <f>IF(AND(Creditos!$C$10&lt;&gt;"",Creditos!$M$10="OK",60&lt;=Creditos!$H$10),SUMIFS(Pagos!$F$6:$F$305,Pagos!$C$6:$C$305,C305,Pagos!$D$6:$D$305,D305,Pagos!$E$6:$E$305,"&lt;="&amp;Supuestos!$D$6,Pagos!$H$6:$H$305,"OK"),"")</f>
        <v/>
      </c>
      <c r="O305" s="48" t="str">
        <f>IF(AND(Creditos!$C$10&lt;&gt;"",Creditos!$M$10="OK",60&lt;=Creditos!$H$10),MIN(J305,MAX(0,N305-K305-H305)),"")</f>
        <v/>
      </c>
      <c r="P305" s="48" t="str">
        <f>IF(AND(Creditos!$C$10&lt;&gt;"",Creditos!$M$10="OK",60&lt;=Creditos!$H$10),MAX(0,L305-N305),"")</f>
        <v/>
      </c>
      <c r="Q305" s="50" t="str">
        <f>IF(AND(Creditos!$C$10&lt;&gt;"",Creditos!$M$10="OK",60&lt;=Creditos!$H$10),IF(AND(E305&lt;Supuestos!$D$6,P305&gt;0.005),Supuestos!$D$6-E305,0),"")</f>
        <v/>
      </c>
      <c r="R305" s="48" t="str">
        <f>IF(AND(Creditos!$C$10&lt;&gt;"",Creditos!$M$10="OK",60&lt;=Creditos!$H$10),MAX(0,N305-L305),"")</f>
        <v/>
      </c>
      <c r="S305" s="46" t="str">
        <f>IF(AND(Creditos!$C$10&lt;&gt;"",Creditos!$M$10="OK",60&lt;=Creditos!$H$10),IF(R305&gt;0.005,"Exceso sin imputar",IF(P305&lt;=0.005,"Pagada",IF(E305&lt;Supuestos!$D$6,"Vencida",IF(E305=Supuestos!$D$6,"Vence hoy","Por vencer")))),"")</f>
        <v/>
      </c>
      <c r="T305" s="46">
        <f>IF(AND(Creditos!$C$10&lt;&gt;"",Creditos!$M$10="OK",60&lt;=Creditos!$H$10),IF(P305&gt;0.005,E305,999999),999999)</f>
        <v>999999</v>
      </c>
    </row>
    <row r="306" ht="25.5" customHeight="1">
      <c r="C306" s="46" t="str">
        <f>IF(AND(Creditos!$C$11&lt;&gt;"",Creditos!$M$11="OK",1&lt;=Creditos!$H$11),Creditos!$C$11,"")</f>
        <v/>
      </c>
      <c r="D306" s="46" t="str">
        <f>IF(AND(Creditos!$C$11&lt;&gt;"",Creditos!$M$11="OK",1&lt;=Creditos!$H$11),1,"")</f>
        <v/>
      </c>
      <c r="E306" s="47" t="str">
        <f>IF(AND(Creditos!$C$11&lt;&gt;"",Creditos!$M$11="OK",1&lt;=Creditos!$H$11),EDATE(Creditos!$I$11,0),"")</f>
        <v/>
      </c>
      <c r="F306" s="48" t="str">
        <f>IF(AND(Creditos!$C$11&lt;&gt;"",Creditos!$M$11="OK",1&lt;=Creditos!$H$11),Creditos!$E$11,"")</f>
        <v/>
      </c>
      <c r="G306" s="49" t="str">
        <f>IF(AND(Creditos!$C$11&lt;&gt;"",Creditos!$M$11="OK",1&lt;=Creditos!$H$11),Creditos!$N$11,"")</f>
        <v/>
      </c>
      <c r="H306" s="48" t="str">
        <f>IF(AND(Creditos!$C$11&lt;&gt;"",Creditos!$M$11="OK",1&lt;=Creditos!$H$11),ROUND(F306*G306,2),"")</f>
        <v/>
      </c>
      <c r="I306" s="48" t="str">
        <f>IF(AND(Creditos!$C$11&lt;&gt;"",Creditos!$M$11="OK",1&lt;=Creditos!$H$11),IF(1=Creditos!$H$11,F306+H306,MIN(Creditos!$O$11,F306+H306)),"")</f>
        <v/>
      </c>
      <c r="J306" s="48" t="str">
        <f>IF(AND(Creditos!$C$11&lt;&gt;"",Creditos!$M$11="OK",1&lt;=Creditos!$H$11),MIN(F306,MAX(0,I306-H306)),"")</f>
        <v/>
      </c>
      <c r="K306" s="48" t="str">
        <f>IF(AND(Creditos!$C$11&lt;&gt;"",Creditos!$M$11="OK",1&lt;=Creditos!$H$11),Creditos!$J$11+Creditos!$K$11,"")</f>
        <v/>
      </c>
      <c r="L306" s="48" t="str">
        <f>IF(AND(Creditos!$C$11&lt;&gt;"",Creditos!$M$11="OK",1&lt;=Creditos!$H$11),I306+K306,"")</f>
        <v/>
      </c>
      <c r="M306" s="48" t="str">
        <f>IF(AND(Creditos!$C$11&lt;&gt;"",Creditos!$M$11="OK",1&lt;=Creditos!$H$11),MAX(0,F306-J306),"")</f>
        <v/>
      </c>
      <c r="N306" s="48" t="str">
        <f>IF(AND(Creditos!$C$11&lt;&gt;"",Creditos!$M$11="OK",1&lt;=Creditos!$H$11),SUMIFS(Pagos!$F$6:$F$305,Pagos!$C$6:$C$305,C306,Pagos!$D$6:$D$305,D306,Pagos!$E$6:$E$305,"&lt;="&amp;Supuestos!$D$6,Pagos!$H$6:$H$305,"OK"),"")</f>
        <v/>
      </c>
      <c r="O306" s="48" t="str">
        <f>IF(AND(Creditos!$C$11&lt;&gt;"",Creditos!$M$11="OK",1&lt;=Creditos!$H$11),MIN(J306,MAX(0,N306-K306-H306)),"")</f>
        <v/>
      </c>
      <c r="P306" s="48" t="str">
        <f>IF(AND(Creditos!$C$11&lt;&gt;"",Creditos!$M$11="OK",1&lt;=Creditos!$H$11),MAX(0,L306-N306),"")</f>
        <v/>
      </c>
      <c r="Q306" s="50" t="str">
        <f>IF(AND(Creditos!$C$11&lt;&gt;"",Creditos!$M$11="OK",1&lt;=Creditos!$H$11),IF(AND(E306&lt;Supuestos!$D$6,P306&gt;0.005),Supuestos!$D$6-E306,0),"")</f>
        <v/>
      </c>
      <c r="R306" s="48" t="str">
        <f>IF(AND(Creditos!$C$11&lt;&gt;"",Creditos!$M$11="OK",1&lt;=Creditos!$H$11),MAX(0,N306-L306),"")</f>
        <v/>
      </c>
      <c r="S306" s="46" t="str">
        <f>IF(AND(Creditos!$C$11&lt;&gt;"",Creditos!$M$11="OK",1&lt;=Creditos!$H$11),IF(R306&gt;0.005,"Exceso sin imputar",IF(P306&lt;=0.005,"Pagada",IF(E306&lt;Supuestos!$D$6,"Vencida",IF(E306=Supuestos!$D$6,"Vence hoy","Por vencer")))),"")</f>
        <v/>
      </c>
      <c r="T306" s="46">
        <f>IF(AND(Creditos!$C$11&lt;&gt;"",Creditos!$M$11="OK",1&lt;=Creditos!$H$11),IF(P306&gt;0.005,E306,999999),999999)</f>
        <v>999999</v>
      </c>
    </row>
    <row r="307" ht="25.5" customHeight="1">
      <c r="C307" s="46" t="str">
        <f>IF(AND(Creditos!$C$11&lt;&gt;"",Creditos!$M$11="OK",2&lt;=Creditos!$H$11),Creditos!$C$11,"")</f>
        <v/>
      </c>
      <c r="D307" s="46" t="str">
        <f>IF(AND(Creditos!$C$11&lt;&gt;"",Creditos!$M$11="OK",2&lt;=Creditos!$H$11),2,"")</f>
        <v/>
      </c>
      <c r="E307" s="47" t="str">
        <f>IF(AND(Creditos!$C$11&lt;&gt;"",Creditos!$M$11="OK",2&lt;=Creditos!$H$11),EDATE(Creditos!$I$11,1),"")</f>
        <v/>
      </c>
      <c r="F307" s="48" t="str">
        <f>IF(AND(Creditos!$C$11&lt;&gt;"",Creditos!$M$11="OK",2&lt;=Creditos!$H$11),M306,"")</f>
        <v/>
      </c>
      <c r="G307" s="49" t="str">
        <f>IF(AND(Creditos!$C$11&lt;&gt;"",Creditos!$M$11="OK",2&lt;=Creditos!$H$11),Creditos!$N$11,"")</f>
        <v/>
      </c>
      <c r="H307" s="48" t="str">
        <f>IF(AND(Creditos!$C$11&lt;&gt;"",Creditos!$M$11="OK",2&lt;=Creditos!$H$11),ROUND(F307*G307,2),"")</f>
        <v/>
      </c>
      <c r="I307" s="48" t="str">
        <f>IF(AND(Creditos!$C$11&lt;&gt;"",Creditos!$M$11="OK",2&lt;=Creditos!$H$11),IF(2=Creditos!$H$11,F307+H307,MIN(Creditos!$O$11,F307+H307)),"")</f>
        <v/>
      </c>
      <c r="J307" s="48" t="str">
        <f>IF(AND(Creditos!$C$11&lt;&gt;"",Creditos!$M$11="OK",2&lt;=Creditos!$H$11),MIN(F307,MAX(0,I307-H307)),"")</f>
        <v/>
      </c>
      <c r="K307" s="48" t="str">
        <f>IF(AND(Creditos!$C$11&lt;&gt;"",Creditos!$M$11="OK",2&lt;=Creditos!$H$11),Creditos!$J$11+Creditos!$K$11,"")</f>
        <v/>
      </c>
      <c r="L307" s="48" t="str">
        <f>IF(AND(Creditos!$C$11&lt;&gt;"",Creditos!$M$11="OK",2&lt;=Creditos!$H$11),I307+K307,"")</f>
        <v/>
      </c>
      <c r="M307" s="48" t="str">
        <f>IF(AND(Creditos!$C$11&lt;&gt;"",Creditos!$M$11="OK",2&lt;=Creditos!$H$11),MAX(0,F307-J307),"")</f>
        <v/>
      </c>
      <c r="N307" s="48" t="str">
        <f>IF(AND(Creditos!$C$11&lt;&gt;"",Creditos!$M$11="OK",2&lt;=Creditos!$H$11),SUMIFS(Pagos!$F$6:$F$305,Pagos!$C$6:$C$305,C307,Pagos!$D$6:$D$305,D307,Pagos!$E$6:$E$305,"&lt;="&amp;Supuestos!$D$6,Pagos!$H$6:$H$305,"OK"),"")</f>
        <v/>
      </c>
      <c r="O307" s="48" t="str">
        <f>IF(AND(Creditos!$C$11&lt;&gt;"",Creditos!$M$11="OK",2&lt;=Creditos!$H$11),MIN(J307,MAX(0,N307-K307-H307)),"")</f>
        <v/>
      </c>
      <c r="P307" s="48" t="str">
        <f>IF(AND(Creditos!$C$11&lt;&gt;"",Creditos!$M$11="OK",2&lt;=Creditos!$H$11),MAX(0,L307-N307),"")</f>
        <v/>
      </c>
      <c r="Q307" s="50" t="str">
        <f>IF(AND(Creditos!$C$11&lt;&gt;"",Creditos!$M$11="OK",2&lt;=Creditos!$H$11),IF(AND(E307&lt;Supuestos!$D$6,P307&gt;0.005),Supuestos!$D$6-E307,0),"")</f>
        <v/>
      </c>
      <c r="R307" s="48" t="str">
        <f>IF(AND(Creditos!$C$11&lt;&gt;"",Creditos!$M$11="OK",2&lt;=Creditos!$H$11),MAX(0,N307-L307),"")</f>
        <v/>
      </c>
      <c r="S307" s="46" t="str">
        <f>IF(AND(Creditos!$C$11&lt;&gt;"",Creditos!$M$11="OK",2&lt;=Creditos!$H$11),IF(R307&gt;0.005,"Exceso sin imputar",IF(P307&lt;=0.005,"Pagada",IF(E307&lt;Supuestos!$D$6,"Vencida",IF(E307=Supuestos!$D$6,"Vence hoy","Por vencer")))),"")</f>
        <v/>
      </c>
      <c r="T307" s="46">
        <f>IF(AND(Creditos!$C$11&lt;&gt;"",Creditos!$M$11="OK",2&lt;=Creditos!$H$11),IF(P307&gt;0.005,E307,999999),999999)</f>
        <v>999999</v>
      </c>
    </row>
    <row r="308" ht="25.5" customHeight="1">
      <c r="C308" s="46" t="str">
        <f>IF(AND(Creditos!$C$11&lt;&gt;"",Creditos!$M$11="OK",3&lt;=Creditos!$H$11),Creditos!$C$11,"")</f>
        <v/>
      </c>
      <c r="D308" s="46" t="str">
        <f>IF(AND(Creditos!$C$11&lt;&gt;"",Creditos!$M$11="OK",3&lt;=Creditos!$H$11),3,"")</f>
        <v/>
      </c>
      <c r="E308" s="47" t="str">
        <f>IF(AND(Creditos!$C$11&lt;&gt;"",Creditos!$M$11="OK",3&lt;=Creditos!$H$11),EDATE(Creditos!$I$11,2),"")</f>
        <v/>
      </c>
      <c r="F308" s="48" t="str">
        <f>IF(AND(Creditos!$C$11&lt;&gt;"",Creditos!$M$11="OK",3&lt;=Creditos!$H$11),M307,"")</f>
        <v/>
      </c>
      <c r="G308" s="49" t="str">
        <f>IF(AND(Creditos!$C$11&lt;&gt;"",Creditos!$M$11="OK",3&lt;=Creditos!$H$11),Creditos!$N$11,"")</f>
        <v/>
      </c>
      <c r="H308" s="48" t="str">
        <f>IF(AND(Creditos!$C$11&lt;&gt;"",Creditos!$M$11="OK",3&lt;=Creditos!$H$11),ROUND(F308*G308,2),"")</f>
        <v/>
      </c>
      <c r="I308" s="48" t="str">
        <f>IF(AND(Creditos!$C$11&lt;&gt;"",Creditos!$M$11="OK",3&lt;=Creditos!$H$11),IF(3=Creditos!$H$11,F308+H308,MIN(Creditos!$O$11,F308+H308)),"")</f>
        <v/>
      </c>
      <c r="J308" s="48" t="str">
        <f>IF(AND(Creditos!$C$11&lt;&gt;"",Creditos!$M$11="OK",3&lt;=Creditos!$H$11),MIN(F308,MAX(0,I308-H308)),"")</f>
        <v/>
      </c>
      <c r="K308" s="48" t="str">
        <f>IF(AND(Creditos!$C$11&lt;&gt;"",Creditos!$M$11="OK",3&lt;=Creditos!$H$11),Creditos!$J$11+Creditos!$K$11,"")</f>
        <v/>
      </c>
      <c r="L308" s="48" t="str">
        <f>IF(AND(Creditos!$C$11&lt;&gt;"",Creditos!$M$11="OK",3&lt;=Creditos!$H$11),I308+K308,"")</f>
        <v/>
      </c>
      <c r="M308" s="48" t="str">
        <f>IF(AND(Creditos!$C$11&lt;&gt;"",Creditos!$M$11="OK",3&lt;=Creditos!$H$11),MAX(0,F308-J308),"")</f>
        <v/>
      </c>
      <c r="N308" s="48" t="str">
        <f>IF(AND(Creditos!$C$11&lt;&gt;"",Creditos!$M$11="OK",3&lt;=Creditos!$H$11),SUMIFS(Pagos!$F$6:$F$305,Pagos!$C$6:$C$305,C308,Pagos!$D$6:$D$305,D308,Pagos!$E$6:$E$305,"&lt;="&amp;Supuestos!$D$6,Pagos!$H$6:$H$305,"OK"),"")</f>
        <v/>
      </c>
      <c r="O308" s="48" t="str">
        <f>IF(AND(Creditos!$C$11&lt;&gt;"",Creditos!$M$11="OK",3&lt;=Creditos!$H$11),MIN(J308,MAX(0,N308-K308-H308)),"")</f>
        <v/>
      </c>
      <c r="P308" s="48" t="str">
        <f>IF(AND(Creditos!$C$11&lt;&gt;"",Creditos!$M$11="OK",3&lt;=Creditos!$H$11),MAX(0,L308-N308),"")</f>
        <v/>
      </c>
      <c r="Q308" s="50" t="str">
        <f>IF(AND(Creditos!$C$11&lt;&gt;"",Creditos!$M$11="OK",3&lt;=Creditos!$H$11),IF(AND(E308&lt;Supuestos!$D$6,P308&gt;0.005),Supuestos!$D$6-E308,0),"")</f>
        <v/>
      </c>
      <c r="R308" s="48" t="str">
        <f>IF(AND(Creditos!$C$11&lt;&gt;"",Creditos!$M$11="OK",3&lt;=Creditos!$H$11),MAX(0,N308-L308),"")</f>
        <v/>
      </c>
      <c r="S308" s="46" t="str">
        <f>IF(AND(Creditos!$C$11&lt;&gt;"",Creditos!$M$11="OK",3&lt;=Creditos!$H$11),IF(R308&gt;0.005,"Exceso sin imputar",IF(P308&lt;=0.005,"Pagada",IF(E308&lt;Supuestos!$D$6,"Vencida",IF(E308=Supuestos!$D$6,"Vence hoy","Por vencer")))),"")</f>
        <v/>
      </c>
      <c r="T308" s="46">
        <f>IF(AND(Creditos!$C$11&lt;&gt;"",Creditos!$M$11="OK",3&lt;=Creditos!$H$11),IF(P308&gt;0.005,E308,999999),999999)</f>
        <v>999999</v>
      </c>
    </row>
    <row r="309" ht="25.5" customHeight="1">
      <c r="C309" s="46" t="str">
        <f>IF(AND(Creditos!$C$11&lt;&gt;"",Creditos!$M$11="OK",4&lt;=Creditos!$H$11),Creditos!$C$11,"")</f>
        <v/>
      </c>
      <c r="D309" s="46" t="str">
        <f>IF(AND(Creditos!$C$11&lt;&gt;"",Creditos!$M$11="OK",4&lt;=Creditos!$H$11),4,"")</f>
        <v/>
      </c>
      <c r="E309" s="47" t="str">
        <f>IF(AND(Creditos!$C$11&lt;&gt;"",Creditos!$M$11="OK",4&lt;=Creditos!$H$11),EDATE(Creditos!$I$11,3),"")</f>
        <v/>
      </c>
      <c r="F309" s="48" t="str">
        <f>IF(AND(Creditos!$C$11&lt;&gt;"",Creditos!$M$11="OK",4&lt;=Creditos!$H$11),M308,"")</f>
        <v/>
      </c>
      <c r="G309" s="49" t="str">
        <f>IF(AND(Creditos!$C$11&lt;&gt;"",Creditos!$M$11="OK",4&lt;=Creditos!$H$11),Creditos!$N$11,"")</f>
        <v/>
      </c>
      <c r="H309" s="48" t="str">
        <f>IF(AND(Creditos!$C$11&lt;&gt;"",Creditos!$M$11="OK",4&lt;=Creditos!$H$11),ROUND(F309*G309,2),"")</f>
        <v/>
      </c>
      <c r="I309" s="48" t="str">
        <f>IF(AND(Creditos!$C$11&lt;&gt;"",Creditos!$M$11="OK",4&lt;=Creditos!$H$11),IF(4=Creditos!$H$11,F309+H309,MIN(Creditos!$O$11,F309+H309)),"")</f>
        <v/>
      </c>
      <c r="J309" s="48" t="str">
        <f>IF(AND(Creditos!$C$11&lt;&gt;"",Creditos!$M$11="OK",4&lt;=Creditos!$H$11),MIN(F309,MAX(0,I309-H309)),"")</f>
        <v/>
      </c>
      <c r="K309" s="48" t="str">
        <f>IF(AND(Creditos!$C$11&lt;&gt;"",Creditos!$M$11="OK",4&lt;=Creditos!$H$11),Creditos!$J$11+Creditos!$K$11,"")</f>
        <v/>
      </c>
      <c r="L309" s="48" t="str">
        <f>IF(AND(Creditos!$C$11&lt;&gt;"",Creditos!$M$11="OK",4&lt;=Creditos!$H$11),I309+K309,"")</f>
        <v/>
      </c>
      <c r="M309" s="48" t="str">
        <f>IF(AND(Creditos!$C$11&lt;&gt;"",Creditos!$M$11="OK",4&lt;=Creditos!$H$11),MAX(0,F309-J309),"")</f>
        <v/>
      </c>
      <c r="N309" s="48" t="str">
        <f>IF(AND(Creditos!$C$11&lt;&gt;"",Creditos!$M$11="OK",4&lt;=Creditos!$H$11),SUMIFS(Pagos!$F$6:$F$305,Pagos!$C$6:$C$305,C309,Pagos!$D$6:$D$305,D309,Pagos!$E$6:$E$305,"&lt;="&amp;Supuestos!$D$6,Pagos!$H$6:$H$305,"OK"),"")</f>
        <v/>
      </c>
      <c r="O309" s="48" t="str">
        <f>IF(AND(Creditos!$C$11&lt;&gt;"",Creditos!$M$11="OK",4&lt;=Creditos!$H$11),MIN(J309,MAX(0,N309-K309-H309)),"")</f>
        <v/>
      </c>
      <c r="P309" s="48" t="str">
        <f>IF(AND(Creditos!$C$11&lt;&gt;"",Creditos!$M$11="OK",4&lt;=Creditos!$H$11),MAX(0,L309-N309),"")</f>
        <v/>
      </c>
      <c r="Q309" s="50" t="str">
        <f>IF(AND(Creditos!$C$11&lt;&gt;"",Creditos!$M$11="OK",4&lt;=Creditos!$H$11),IF(AND(E309&lt;Supuestos!$D$6,P309&gt;0.005),Supuestos!$D$6-E309,0),"")</f>
        <v/>
      </c>
      <c r="R309" s="48" t="str">
        <f>IF(AND(Creditos!$C$11&lt;&gt;"",Creditos!$M$11="OK",4&lt;=Creditos!$H$11),MAX(0,N309-L309),"")</f>
        <v/>
      </c>
      <c r="S309" s="46" t="str">
        <f>IF(AND(Creditos!$C$11&lt;&gt;"",Creditos!$M$11="OK",4&lt;=Creditos!$H$11),IF(R309&gt;0.005,"Exceso sin imputar",IF(P309&lt;=0.005,"Pagada",IF(E309&lt;Supuestos!$D$6,"Vencida",IF(E309=Supuestos!$D$6,"Vence hoy","Por vencer")))),"")</f>
        <v/>
      </c>
      <c r="T309" s="46">
        <f>IF(AND(Creditos!$C$11&lt;&gt;"",Creditos!$M$11="OK",4&lt;=Creditos!$H$11),IF(P309&gt;0.005,E309,999999),999999)</f>
        <v>999999</v>
      </c>
    </row>
    <row r="310" ht="25.5" customHeight="1">
      <c r="C310" s="46" t="str">
        <f>IF(AND(Creditos!$C$11&lt;&gt;"",Creditos!$M$11="OK",5&lt;=Creditos!$H$11),Creditos!$C$11,"")</f>
        <v/>
      </c>
      <c r="D310" s="46" t="str">
        <f>IF(AND(Creditos!$C$11&lt;&gt;"",Creditos!$M$11="OK",5&lt;=Creditos!$H$11),5,"")</f>
        <v/>
      </c>
      <c r="E310" s="47" t="str">
        <f>IF(AND(Creditos!$C$11&lt;&gt;"",Creditos!$M$11="OK",5&lt;=Creditos!$H$11),EDATE(Creditos!$I$11,4),"")</f>
        <v/>
      </c>
      <c r="F310" s="48" t="str">
        <f>IF(AND(Creditos!$C$11&lt;&gt;"",Creditos!$M$11="OK",5&lt;=Creditos!$H$11),M309,"")</f>
        <v/>
      </c>
      <c r="G310" s="49" t="str">
        <f>IF(AND(Creditos!$C$11&lt;&gt;"",Creditos!$M$11="OK",5&lt;=Creditos!$H$11),Creditos!$N$11,"")</f>
        <v/>
      </c>
      <c r="H310" s="48" t="str">
        <f>IF(AND(Creditos!$C$11&lt;&gt;"",Creditos!$M$11="OK",5&lt;=Creditos!$H$11),ROUND(F310*G310,2),"")</f>
        <v/>
      </c>
      <c r="I310" s="48" t="str">
        <f>IF(AND(Creditos!$C$11&lt;&gt;"",Creditos!$M$11="OK",5&lt;=Creditos!$H$11),IF(5=Creditos!$H$11,F310+H310,MIN(Creditos!$O$11,F310+H310)),"")</f>
        <v/>
      </c>
      <c r="J310" s="48" t="str">
        <f>IF(AND(Creditos!$C$11&lt;&gt;"",Creditos!$M$11="OK",5&lt;=Creditos!$H$11),MIN(F310,MAX(0,I310-H310)),"")</f>
        <v/>
      </c>
      <c r="K310" s="48" t="str">
        <f>IF(AND(Creditos!$C$11&lt;&gt;"",Creditos!$M$11="OK",5&lt;=Creditos!$H$11),Creditos!$J$11+Creditos!$K$11,"")</f>
        <v/>
      </c>
      <c r="L310" s="48" t="str">
        <f>IF(AND(Creditos!$C$11&lt;&gt;"",Creditos!$M$11="OK",5&lt;=Creditos!$H$11),I310+K310,"")</f>
        <v/>
      </c>
      <c r="M310" s="48" t="str">
        <f>IF(AND(Creditos!$C$11&lt;&gt;"",Creditos!$M$11="OK",5&lt;=Creditos!$H$11),MAX(0,F310-J310),"")</f>
        <v/>
      </c>
      <c r="N310" s="48" t="str">
        <f>IF(AND(Creditos!$C$11&lt;&gt;"",Creditos!$M$11="OK",5&lt;=Creditos!$H$11),SUMIFS(Pagos!$F$6:$F$305,Pagos!$C$6:$C$305,C310,Pagos!$D$6:$D$305,D310,Pagos!$E$6:$E$305,"&lt;="&amp;Supuestos!$D$6,Pagos!$H$6:$H$305,"OK"),"")</f>
        <v/>
      </c>
      <c r="O310" s="48" t="str">
        <f>IF(AND(Creditos!$C$11&lt;&gt;"",Creditos!$M$11="OK",5&lt;=Creditos!$H$11),MIN(J310,MAX(0,N310-K310-H310)),"")</f>
        <v/>
      </c>
      <c r="P310" s="48" t="str">
        <f>IF(AND(Creditos!$C$11&lt;&gt;"",Creditos!$M$11="OK",5&lt;=Creditos!$H$11),MAX(0,L310-N310),"")</f>
        <v/>
      </c>
      <c r="Q310" s="50" t="str">
        <f>IF(AND(Creditos!$C$11&lt;&gt;"",Creditos!$M$11="OK",5&lt;=Creditos!$H$11),IF(AND(E310&lt;Supuestos!$D$6,P310&gt;0.005),Supuestos!$D$6-E310,0),"")</f>
        <v/>
      </c>
      <c r="R310" s="48" t="str">
        <f>IF(AND(Creditos!$C$11&lt;&gt;"",Creditos!$M$11="OK",5&lt;=Creditos!$H$11),MAX(0,N310-L310),"")</f>
        <v/>
      </c>
      <c r="S310" s="46" t="str">
        <f>IF(AND(Creditos!$C$11&lt;&gt;"",Creditos!$M$11="OK",5&lt;=Creditos!$H$11),IF(R310&gt;0.005,"Exceso sin imputar",IF(P310&lt;=0.005,"Pagada",IF(E310&lt;Supuestos!$D$6,"Vencida",IF(E310=Supuestos!$D$6,"Vence hoy","Por vencer")))),"")</f>
        <v/>
      </c>
      <c r="T310" s="46">
        <f>IF(AND(Creditos!$C$11&lt;&gt;"",Creditos!$M$11="OK",5&lt;=Creditos!$H$11),IF(P310&gt;0.005,E310,999999),999999)</f>
        <v>999999</v>
      </c>
    </row>
    <row r="311" ht="25.5" customHeight="1">
      <c r="C311" s="46" t="str">
        <f>IF(AND(Creditos!$C$11&lt;&gt;"",Creditos!$M$11="OK",6&lt;=Creditos!$H$11),Creditos!$C$11,"")</f>
        <v/>
      </c>
      <c r="D311" s="46" t="str">
        <f>IF(AND(Creditos!$C$11&lt;&gt;"",Creditos!$M$11="OK",6&lt;=Creditos!$H$11),6,"")</f>
        <v/>
      </c>
      <c r="E311" s="47" t="str">
        <f>IF(AND(Creditos!$C$11&lt;&gt;"",Creditos!$M$11="OK",6&lt;=Creditos!$H$11),EDATE(Creditos!$I$11,5),"")</f>
        <v/>
      </c>
      <c r="F311" s="48" t="str">
        <f>IF(AND(Creditos!$C$11&lt;&gt;"",Creditos!$M$11="OK",6&lt;=Creditos!$H$11),M310,"")</f>
        <v/>
      </c>
      <c r="G311" s="49" t="str">
        <f>IF(AND(Creditos!$C$11&lt;&gt;"",Creditos!$M$11="OK",6&lt;=Creditos!$H$11),Creditos!$N$11,"")</f>
        <v/>
      </c>
      <c r="H311" s="48" t="str">
        <f>IF(AND(Creditos!$C$11&lt;&gt;"",Creditos!$M$11="OK",6&lt;=Creditos!$H$11),ROUND(F311*G311,2),"")</f>
        <v/>
      </c>
      <c r="I311" s="48" t="str">
        <f>IF(AND(Creditos!$C$11&lt;&gt;"",Creditos!$M$11="OK",6&lt;=Creditos!$H$11),IF(6=Creditos!$H$11,F311+H311,MIN(Creditos!$O$11,F311+H311)),"")</f>
        <v/>
      </c>
      <c r="J311" s="48" t="str">
        <f>IF(AND(Creditos!$C$11&lt;&gt;"",Creditos!$M$11="OK",6&lt;=Creditos!$H$11),MIN(F311,MAX(0,I311-H311)),"")</f>
        <v/>
      </c>
      <c r="K311" s="48" t="str">
        <f>IF(AND(Creditos!$C$11&lt;&gt;"",Creditos!$M$11="OK",6&lt;=Creditos!$H$11),Creditos!$J$11+Creditos!$K$11,"")</f>
        <v/>
      </c>
      <c r="L311" s="48" t="str">
        <f>IF(AND(Creditos!$C$11&lt;&gt;"",Creditos!$M$11="OK",6&lt;=Creditos!$H$11),I311+K311,"")</f>
        <v/>
      </c>
      <c r="M311" s="48" t="str">
        <f>IF(AND(Creditos!$C$11&lt;&gt;"",Creditos!$M$11="OK",6&lt;=Creditos!$H$11),MAX(0,F311-J311),"")</f>
        <v/>
      </c>
      <c r="N311" s="48" t="str">
        <f>IF(AND(Creditos!$C$11&lt;&gt;"",Creditos!$M$11="OK",6&lt;=Creditos!$H$11),SUMIFS(Pagos!$F$6:$F$305,Pagos!$C$6:$C$305,C311,Pagos!$D$6:$D$305,D311,Pagos!$E$6:$E$305,"&lt;="&amp;Supuestos!$D$6,Pagos!$H$6:$H$305,"OK"),"")</f>
        <v/>
      </c>
      <c r="O311" s="48" t="str">
        <f>IF(AND(Creditos!$C$11&lt;&gt;"",Creditos!$M$11="OK",6&lt;=Creditos!$H$11),MIN(J311,MAX(0,N311-K311-H311)),"")</f>
        <v/>
      </c>
      <c r="P311" s="48" t="str">
        <f>IF(AND(Creditos!$C$11&lt;&gt;"",Creditos!$M$11="OK",6&lt;=Creditos!$H$11),MAX(0,L311-N311),"")</f>
        <v/>
      </c>
      <c r="Q311" s="50" t="str">
        <f>IF(AND(Creditos!$C$11&lt;&gt;"",Creditos!$M$11="OK",6&lt;=Creditos!$H$11),IF(AND(E311&lt;Supuestos!$D$6,P311&gt;0.005),Supuestos!$D$6-E311,0),"")</f>
        <v/>
      </c>
      <c r="R311" s="48" t="str">
        <f>IF(AND(Creditos!$C$11&lt;&gt;"",Creditos!$M$11="OK",6&lt;=Creditos!$H$11),MAX(0,N311-L311),"")</f>
        <v/>
      </c>
      <c r="S311" s="46" t="str">
        <f>IF(AND(Creditos!$C$11&lt;&gt;"",Creditos!$M$11="OK",6&lt;=Creditos!$H$11),IF(R311&gt;0.005,"Exceso sin imputar",IF(P311&lt;=0.005,"Pagada",IF(E311&lt;Supuestos!$D$6,"Vencida",IF(E311=Supuestos!$D$6,"Vence hoy","Por vencer")))),"")</f>
        <v/>
      </c>
      <c r="T311" s="46">
        <f>IF(AND(Creditos!$C$11&lt;&gt;"",Creditos!$M$11="OK",6&lt;=Creditos!$H$11),IF(P311&gt;0.005,E311,999999),999999)</f>
        <v>999999</v>
      </c>
    </row>
    <row r="312" ht="25.5" customHeight="1">
      <c r="C312" s="46" t="str">
        <f>IF(AND(Creditos!$C$11&lt;&gt;"",Creditos!$M$11="OK",7&lt;=Creditos!$H$11),Creditos!$C$11,"")</f>
        <v/>
      </c>
      <c r="D312" s="46" t="str">
        <f>IF(AND(Creditos!$C$11&lt;&gt;"",Creditos!$M$11="OK",7&lt;=Creditos!$H$11),7,"")</f>
        <v/>
      </c>
      <c r="E312" s="47" t="str">
        <f>IF(AND(Creditos!$C$11&lt;&gt;"",Creditos!$M$11="OK",7&lt;=Creditos!$H$11),EDATE(Creditos!$I$11,6),"")</f>
        <v/>
      </c>
      <c r="F312" s="48" t="str">
        <f>IF(AND(Creditos!$C$11&lt;&gt;"",Creditos!$M$11="OK",7&lt;=Creditos!$H$11),M311,"")</f>
        <v/>
      </c>
      <c r="G312" s="49" t="str">
        <f>IF(AND(Creditos!$C$11&lt;&gt;"",Creditos!$M$11="OK",7&lt;=Creditos!$H$11),Creditos!$N$11,"")</f>
        <v/>
      </c>
      <c r="H312" s="48" t="str">
        <f>IF(AND(Creditos!$C$11&lt;&gt;"",Creditos!$M$11="OK",7&lt;=Creditos!$H$11),ROUND(F312*G312,2),"")</f>
        <v/>
      </c>
      <c r="I312" s="48" t="str">
        <f>IF(AND(Creditos!$C$11&lt;&gt;"",Creditos!$M$11="OK",7&lt;=Creditos!$H$11),IF(7=Creditos!$H$11,F312+H312,MIN(Creditos!$O$11,F312+H312)),"")</f>
        <v/>
      </c>
      <c r="J312" s="48" t="str">
        <f>IF(AND(Creditos!$C$11&lt;&gt;"",Creditos!$M$11="OK",7&lt;=Creditos!$H$11),MIN(F312,MAX(0,I312-H312)),"")</f>
        <v/>
      </c>
      <c r="K312" s="48" t="str">
        <f>IF(AND(Creditos!$C$11&lt;&gt;"",Creditos!$M$11="OK",7&lt;=Creditos!$H$11),Creditos!$J$11+Creditos!$K$11,"")</f>
        <v/>
      </c>
      <c r="L312" s="48" t="str">
        <f>IF(AND(Creditos!$C$11&lt;&gt;"",Creditos!$M$11="OK",7&lt;=Creditos!$H$11),I312+K312,"")</f>
        <v/>
      </c>
      <c r="M312" s="48" t="str">
        <f>IF(AND(Creditos!$C$11&lt;&gt;"",Creditos!$M$11="OK",7&lt;=Creditos!$H$11),MAX(0,F312-J312),"")</f>
        <v/>
      </c>
      <c r="N312" s="48" t="str">
        <f>IF(AND(Creditos!$C$11&lt;&gt;"",Creditos!$M$11="OK",7&lt;=Creditos!$H$11),SUMIFS(Pagos!$F$6:$F$305,Pagos!$C$6:$C$305,C312,Pagos!$D$6:$D$305,D312,Pagos!$E$6:$E$305,"&lt;="&amp;Supuestos!$D$6,Pagos!$H$6:$H$305,"OK"),"")</f>
        <v/>
      </c>
      <c r="O312" s="48" t="str">
        <f>IF(AND(Creditos!$C$11&lt;&gt;"",Creditos!$M$11="OK",7&lt;=Creditos!$H$11),MIN(J312,MAX(0,N312-K312-H312)),"")</f>
        <v/>
      </c>
      <c r="P312" s="48" t="str">
        <f>IF(AND(Creditos!$C$11&lt;&gt;"",Creditos!$M$11="OK",7&lt;=Creditos!$H$11),MAX(0,L312-N312),"")</f>
        <v/>
      </c>
      <c r="Q312" s="50" t="str">
        <f>IF(AND(Creditos!$C$11&lt;&gt;"",Creditos!$M$11="OK",7&lt;=Creditos!$H$11),IF(AND(E312&lt;Supuestos!$D$6,P312&gt;0.005),Supuestos!$D$6-E312,0),"")</f>
        <v/>
      </c>
      <c r="R312" s="48" t="str">
        <f>IF(AND(Creditos!$C$11&lt;&gt;"",Creditos!$M$11="OK",7&lt;=Creditos!$H$11),MAX(0,N312-L312),"")</f>
        <v/>
      </c>
      <c r="S312" s="46" t="str">
        <f>IF(AND(Creditos!$C$11&lt;&gt;"",Creditos!$M$11="OK",7&lt;=Creditos!$H$11),IF(R312&gt;0.005,"Exceso sin imputar",IF(P312&lt;=0.005,"Pagada",IF(E312&lt;Supuestos!$D$6,"Vencida",IF(E312=Supuestos!$D$6,"Vence hoy","Por vencer")))),"")</f>
        <v/>
      </c>
      <c r="T312" s="46">
        <f>IF(AND(Creditos!$C$11&lt;&gt;"",Creditos!$M$11="OK",7&lt;=Creditos!$H$11),IF(P312&gt;0.005,E312,999999),999999)</f>
        <v>999999</v>
      </c>
    </row>
    <row r="313" ht="25.5" customHeight="1">
      <c r="C313" s="46" t="str">
        <f>IF(AND(Creditos!$C$11&lt;&gt;"",Creditos!$M$11="OK",8&lt;=Creditos!$H$11),Creditos!$C$11,"")</f>
        <v/>
      </c>
      <c r="D313" s="46" t="str">
        <f>IF(AND(Creditos!$C$11&lt;&gt;"",Creditos!$M$11="OK",8&lt;=Creditos!$H$11),8,"")</f>
        <v/>
      </c>
      <c r="E313" s="47" t="str">
        <f>IF(AND(Creditos!$C$11&lt;&gt;"",Creditos!$M$11="OK",8&lt;=Creditos!$H$11),EDATE(Creditos!$I$11,7),"")</f>
        <v/>
      </c>
      <c r="F313" s="48" t="str">
        <f>IF(AND(Creditos!$C$11&lt;&gt;"",Creditos!$M$11="OK",8&lt;=Creditos!$H$11),M312,"")</f>
        <v/>
      </c>
      <c r="G313" s="49" t="str">
        <f>IF(AND(Creditos!$C$11&lt;&gt;"",Creditos!$M$11="OK",8&lt;=Creditos!$H$11),Creditos!$N$11,"")</f>
        <v/>
      </c>
      <c r="H313" s="48" t="str">
        <f>IF(AND(Creditos!$C$11&lt;&gt;"",Creditos!$M$11="OK",8&lt;=Creditos!$H$11),ROUND(F313*G313,2),"")</f>
        <v/>
      </c>
      <c r="I313" s="48" t="str">
        <f>IF(AND(Creditos!$C$11&lt;&gt;"",Creditos!$M$11="OK",8&lt;=Creditos!$H$11),IF(8=Creditos!$H$11,F313+H313,MIN(Creditos!$O$11,F313+H313)),"")</f>
        <v/>
      </c>
      <c r="J313" s="48" t="str">
        <f>IF(AND(Creditos!$C$11&lt;&gt;"",Creditos!$M$11="OK",8&lt;=Creditos!$H$11),MIN(F313,MAX(0,I313-H313)),"")</f>
        <v/>
      </c>
      <c r="K313" s="48" t="str">
        <f>IF(AND(Creditos!$C$11&lt;&gt;"",Creditos!$M$11="OK",8&lt;=Creditos!$H$11),Creditos!$J$11+Creditos!$K$11,"")</f>
        <v/>
      </c>
      <c r="L313" s="48" t="str">
        <f>IF(AND(Creditos!$C$11&lt;&gt;"",Creditos!$M$11="OK",8&lt;=Creditos!$H$11),I313+K313,"")</f>
        <v/>
      </c>
      <c r="M313" s="48" t="str">
        <f>IF(AND(Creditos!$C$11&lt;&gt;"",Creditos!$M$11="OK",8&lt;=Creditos!$H$11),MAX(0,F313-J313),"")</f>
        <v/>
      </c>
      <c r="N313" s="48" t="str">
        <f>IF(AND(Creditos!$C$11&lt;&gt;"",Creditos!$M$11="OK",8&lt;=Creditos!$H$11),SUMIFS(Pagos!$F$6:$F$305,Pagos!$C$6:$C$305,C313,Pagos!$D$6:$D$305,D313,Pagos!$E$6:$E$305,"&lt;="&amp;Supuestos!$D$6,Pagos!$H$6:$H$305,"OK"),"")</f>
        <v/>
      </c>
      <c r="O313" s="48" t="str">
        <f>IF(AND(Creditos!$C$11&lt;&gt;"",Creditos!$M$11="OK",8&lt;=Creditos!$H$11),MIN(J313,MAX(0,N313-K313-H313)),"")</f>
        <v/>
      </c>
      <c r="P313" s="48" t="str">
        <f>IF(AND(Creditos!$C$11&lt;&gt;"",Creditos!$M$11="OK",8&lt;=Creditos!$H$11),MAX(0,L313-N313),"")</f>
        <v/>
      </c>
      <c r="Q313" s="50" t="str">
        <f>IF(AND(Creditos!$C$11&lt;&gt;"",Creditos!$M$11="OK",8&lt;=Creditos!$H$11),IF(AND(E313&lt;Supuestos!$D$6,P313&gt;0.005),Supuestos!$D$6-E313,0),"")</f>
        <v/>
      </c>
      <c r="R313" s="48" t="str">
        <f>IF(AND(Creditos!$C$11&lt;&gt;"",Creditos!$M$11="OK",8&lt;=Creditos!$H$11),MAX(0,N313-L313),"")</f>
        <v/>
      </c>
      <c r="S313" s="46" t="str">
        <f>IF(AND(Creditos!$C$11&lt;&gt;"",Creditos!$M$11="OK",8&lt;=Creditos!$H$11),IF(R313&gt;0.005,"Exceso sin imputar",IF(P313&lt;=0.005,"Pagada",IF(E313&lt;Supuestos!$D$6,"Vencida",IF(E313=Supuestos!$D$6,"Vence hoy","Por vencer")))),"")</f>
        <v/>
      </c>
      <c r="T313" s="46">
        <f>IF(AND(Creditos!$C$11&lt;&gt;"",Creditos!$M$11="OK",8&lt;=Creditos!$H$11),IF(P313&gt;0.005,E313,999999),999999)</f>
        <v>999999</v>
      </c>
    </row>
    <row r="314" ht="25.5" customHeight="1">
      <c r="C314" s="46" t="str">
        <f>IF(AND(Creditos!$C$11&lt;&gt;"",Creditos!$M$11="OK",9&lt;=Creditos!$H$11),Creditos!$C$11,"")</f>
        <v/>
      </c>
      <c r="D314" s="46" t="str">
        <f>IF(AND(Creditos!$C$11&lt;&gt;"",Creditos!$M$11="OK",9&lt;=Creditos!$H$11),9,"")</f>
        <v/>
      </c>
      <c r="E314" s="47" t="str">
        <f>IF(AND(Creditos!$C$11&lt;&gt;"",Creditos!$M$11="OK",9&lt;=Creditos!$H$11),EDATE(Creditos!$I$11,8),"")</f>
        <v/>
      </c>
      <c r="F314" s="48" t="str">
        <f>IF(AND(Creditos!$C$11&lt;&gt;"",Creditos!$M$11="OK",9&lt;=Creditos!$H$11),M313,"")</f>
        <v/>
      </c>
      <c r="G314" s="49" t="str">
        <f>IF(AND(Creditos!$C$11&lt;&gt;"",Creditos!$M$11="OK",9&lt;=Creditos!$H$11),Creditos!$N$11,"")</f>
        <v/>
      </c>
      <c r="H314" s="48" t="str">
        <f>IF(AND(Creditos!$C$11&lt;&gt;"",Creditos!$M$11="OK",9&lt;=Creditos!$H$11),ROUND(F314*G314,2),"")</f>
        <v/>
      </c>
      <c r="I314" s="48" t="str">
        <f>IF(AND(Creditos!$C$11&lt;&gt;"",Creditos!$M$11="OK",9&lt;=Creditos!$H$11),IF(9=Creditos!$H$11,F314+H314,MIN(Creditos!$O$11,F314+H314)),"")</f>
        <v/>
      </c>
      <c r="J314" s="48" t="str">
        <f>IF(AND(Creditos!$C$11&lt;&gt;"",Creditos!$M$11="OK",9&lt;=Creditos!$H$11),MIN(F314,MAX(0,I314-H314)),"")</f>
        <v/>
      </c>
      <c r="K314" s="48" t="str">
        <f>IF(AND(Creditos!$C$11&lt;&gt;"",Creditos!$M$11="OK",9&lt;=Creditos!$H$11),Creditos!$J$11+Creditos!$K$11,"")</f>
        <v/>
      </c>
      <c r="L314" s="48" t="str">
        <f>IF(AND(Creditos!$C$11&lt;&gt;"",Creditos!$M$11="OK",9&lt;=Creditos!$H$11),I314+K314,"")</f>
        <v/>
      </c>
      <c r="M314" s="48" t="str">
        <f>IF(AND(Creditos!$C$11&lt;&gt;"",Creditos!$M$11="OK",9&lt;=Creditos!$H$11),MAX(0,F314-J314),"")</f>
        <v/>
      </c>
      <c r="N314" s="48" t="str">
        <f>IF(AND(Creditos!$C$11&lt;&gt;"",Creditos!$M$11="OK",9&lt;=Creditos!$H$11),SUMIFS(Pagos!$F$6:$F$305,Pagos!$C$6:$C$305,C314,Pagos!$D$6:$D$305,D314,Pagos!$E$6:$E$305,"&lt;="&amp;Supuestos!$D$6,Pagos!$H$6:$H$305,"OK"),"")</f>
        <v/>
      </c>
      <c r="O314" s="48" t="str">
        <f>IF(AND(Creditos!$C$11&lt;&gt;"",Creditos!$M$11="OK",9&lt;=Creditos!$H$11),MIN(J314,MAX(0,N314-K314-H314)),"")</f>
        <v/>
      </c>
      <c r="P314" s="48" t="str">
        <f>IF(AND(Creditos!$C$11&lt;&gt;"",Creditos!$M$11="OK",9&lt;=Creditos!$H$11),MAX(0,L314-N314),"")</f>
        <v/>
      </c>
      <c r="Q314" s="50" t="str">
        <f>IF(AND(Creditos!$C$11&lt;&gt;"",Creditos!$M$11="OK",9&lt;=Creditos!$H$11),IF(AND(E314&lt;Supuestos!$D$6,P314&gt;0.005),Supuestos!$D$6-E314,0),"")</f>
        <v/>
      </c>
      <c r="R314" s="48" t="str">
        <f>IF(AND(Creditos!$C$11&lt;&gt;"",Creditos!$M$11="OK",9&lt;=Creditos!$H$11),MAX(0,N314-L314),"")</f>
        <v/>
      </c>
      <c r="S314" s="46" t="str">
        <f>IF(AND(Creditos!$C$11&lt;&gt;"",Creditos!$M$11="OK",9&lt;=Creditos!$H$11),IF(R314&gt;0.005,"Exceso sin imputar",IF(P314&lt;=0.005,"Pagada",IF(E314&lt;Supuestos!$D$6,"Vencida",IF(E314=Supuestos!$D$6,"Vence hoy","Por vencer")))),"")</f>
        <v/>
      </c>
      <c r="T314" s="46">
        <f>IF(AND(Creditos!$C$11&lt;&gt;"",Creditos!$M$11="OK",9&lt;=Creditos!$H$11),IF(P314&gt;0.005,E314,999999),999999)</f>
        <v>999999</v>
      </c>
    </row>
    <row r="315" ht="25.5" customHeight="1">
      <c r="C315" s="46" t="str">
        <f>IF(AND(Creditos!$C$11&lt;&gt;"",Creditos!$M$11="OK",10&lt;=Creditos!$H$11),Creditos!$C$11,"")</f>
        <v/>
      </c>
      <c r="D315" s="46" t="str">
        <f>IF(AND(Creditos!$C$11&lt;&gt;"",Creditos!$M$11="OK",10&lt;=Creditos!$H$11),10,"")</f>
        <v/>
      </c>
      <c r="E315" s="47" t="str">
        <f>IF(AND(Creditos!$C$11&lt;&gt;"",Creditos!$M$11="OK",10&lt;=Creditos!$H$11),EDATE(Creditos!$I$11,9),"")</f>
        <v/>
      </c>
      <c r="F315" s="48" t="str">
        <f>IF(AND(Creditos!$C$11&lt;&gt;"",Creditos!$M$11="OK",10&lt;=Creditos!$H$11),M314,"")</f>
        <v/>
      </c>
      <c r="G315" s="49" t="str">
        <f>IF(AND(Creditos!$C$11&lt;&gt;"",Creditos!$M$11="OK",10&lt;=Creditos!$H$11),Creditos!$N$11,"")</f>
        <v/>
      </c>
      <c r="H315" s="48" t="str">
        <f>IF(AND(Creditos!$C$11&lt;&gt;"",Creditos!$M$11="OK",10&lt;=Creditos!$H$11),ROUND(F315*G315,2),"")</f>
        <v/>
      </c>
      <c r="I315" s="48" t="str">
        <f>IF(AND(Creditos!$C$11&lt;&gt;"",Creditos!$M$11="OK",10&lt;=Creditos!$H$11),IF(10=Creditos!$H$11,F315+H315,MIN(Creditos!$O$11,F315+H315)),"")</f>
        <v/>
      </c>
      <c r="J315" s="48" t="str">
        <f>IF(AND(Creditos!$C$11&lt;&gt;"",Creditos!$M$11="OK",10&lt;=Creditos!$H$11),MIN(F315,MAX(0,I315-H315)),"")</f>
        <v/>
      </c>
      <c r="K315" s="48" t="str">
        <f>IF(AND(Creditos!$C$11&lt;&gt;"",Creditos!$M$11="OK",10&lt;=Creditos!$H$11),Creditos!$J$11+Creditos!$K$11,"")</f>
        <v/>
      </c>
      <c r="L315" s="48" t="str">
        <f>IF(AND(Creditos!$C$11&lt;&gt;"",Creditos!$M$11="OK",10&lt;=Creditos!$H$11),I315+K315,"")</f>
        <v/>
      </c>
      <c r="M315" s="48" t="str">
        <f>IF(AND(Creditos!$C$11&lt;&gt;"",Creditos!$M$11="OK",10&lt;=Creditos!$H$11),MAX(0,F315-J315),"")</f>
        <v/>
      </c>
      <c r="N315" s="48" t="str">
        <f>IF(AND(Creditos!$C$11&lt;&gt;"",Creditos!$M$11="OK",10&lt;=Creditos!$H$11),SUMIFS(Pagos!$F$6:$F$305,Pagos!$C$6:$C$305,C315,Pagos!$D$6:$D$305,D315,Pagos!$E$6:$E$305,"&lt;="&amp;Supuestos!$D$6,Pagos!$H$6:$H$305,"OK"),"")</f>
        <v/>
      </c>
      <c r="O315" s="48" t="str">
        <f>IF(AND(Creditos!$C$11&lt;&gt;"",Creditos!$M$11="OK",10&lt;=Creditos!$H$11),MIN(J315,MAX(0,N315-K315-H315)),"")</f>
        <v/>
      </c>
      <c r="P315" s="48" t="str">
        <f>IF(AND(Creditos!$C$11&lt;&gt;"",Creditos!$M$11="OK",10&lt;=Creditos!$H$11),MAX(0,L315-N315),"")</f>
        <v/>
      </c>
      <c r="Q315" s="50" t="str">
        <f>IF(AND(Creditos!$C$11&lt;&gt;"",Creditos!$M$11="OK",10&lt;=Creditos!$H$11),IF(AND(E315&lt;Supuestos!$D$6,P315&gt;0.005),Supuestos!$D$6-E315,0),"")</f>
        <v/>
      </c>
      <c r="R315" s="48" t="str">
        <f>IF(AND(Creditos!$C$11&lt;&gt;"",Creditos!$M$11="OK",10&lt;=Creditos!$H$11),MAX(0,N315-L315),"")</f>
        <v/>
      </c>
      <c r="S315" s="46" t="str">
        <f>IF(AND(Creditos!$C$11&lt;&gt;"",Creditos!$M$11="OK",10&lt;=Creditos!$H$11),IF(R315&gt;0.005,"Exceso sin imputar",IF(P315&lt;=0.005,"Pagada",IF(E315&lt;Supuestos!$D$6,"Vencida",IF(E315=Supuestos!$D$6,"Vence hoy","Por vencer")))),"")</f>
        <v/>
      </c>
      <c r="T315" s="46">
        <f>IF(AND(Creditos!$C$11&lt;&gt;"",Creditos!$M$11="OK",10&lt;=Creditos!$H$11),IF(P315&gt;0.005,E315,999999),999999)</f>
        <v>999999</v>
      </c>
    </row>
    <row r="316" ht="25.5" customHeight="1">
      <c r="C316" s="46" t="str">
        <f>IF(AND(Creditos!$C$11&lt;&gt;"",Creditos!$M$11="OK",11&lt;=Creditos!$H$11),Creditos!$C$11,"")</f>
        <v/>
      </c>
      <c r="D316" s="46" t="str">
        <f>IF(AND(Creditos!$C$11&lt;&gt;"",Creditos!$M$11="OK",11&lt;=Creditos!$H$11),11,"")</f>
        <v/>
      </c>
      <c r="E316" s="47" t="str">
        <f>IF(AND(Creditos!$C$11&lt;&gt;"",Creditos!$M$11="OK",11&lt;=Creditos!$H$11),EDATE(Creditos!$I$11,10),"")</f>
        <v/>
      </c>
      <c r="F316" s="48" t="str">
        <f>IF(AND(Creditos!$C$11&lt;&gt;"",Creditos!$M$11="OK",11&lt;=Creditos!$H$11),M315,"")</f>
        <v/>
      </c>
      <c r="G316" s="49" t="str">
        <f>IF(AND(Creditos!$C$11&lt;&gt;"",Creditos!$M$11="OK",11&lt;=Creditos!$H$11),Creditos!$N$11,"")</f>
        <v/>
      </c>
      <c r="H316" s="48" t="str">
        <f>IF(AND(Creditos!$C$11&lt;&gt;"",Creditos!$M$11="OK",11&lt;=Creditos!$H$11),ROUND(F316*G316,2),"")</f>
        <v/>
      </c>
      <c r="I316" s="48" t="str">
        <f>IF(AND(Creditos!$C$11&lt;&gt;"",Creditos!$M$11="OK",11&lt;=Creditos!$H$11),IF(11=Creditos!$H$11,F316+H316,MIN(Creditos!$O$11,F316+H316)),"")</f>
        <v/>
      </c>
      <c r="J316" s="48" t="str">
        <f>IF(AND(Creditos!$C$11&lt;&gt;"",Creditos!$M$11="OK",11&lt;=Creditos!$H$11),MIN(F316,MAX(0,I316-H316)),"")</f>
        <v/>
      </c>
      <c r="K316" s="48" t="str">
        <f>IF(AND(Creditos!$C$11&lt;&gt;"",Creditos!$M$11="OK",11&lt;=Creditos!$H$11),Creditos!$J$11+Creditos!$K$11,"")</f>
        <v/>
      </c>
      <c r="L316" s="48" t="str">
        <f>IF(AND(Creditos!$C$11&lt;&gt;"",Creditos!$M$11="OK",11&lt;=Creditos!$H$11),I316+K316,"")</f>
        <v/>
      </c>
      <c r="M316" s="48" t="str">
        <f>IF(AND(Creditos!$C$11&lt;&gt;"",Creditos!$M$11="OK",11&lt;=Creditos!$H$11),MAX(0,F316-J316),"")</f>
        <v/>
      </c>
      <c r="N316" s="48" t="str">
        <f>IF(AND(Creditos!$C$11&lt;&gt;"",Creditos!$M$11="OK",11&lt;=Creditos!$H$11),SUMIFS(Pagos!$F$6:$F$305,Pagos!$C$6:$C$305,C316,Pagos!$D$6:$D$305,D316,Pagos!$E$6:$E$305,"&lt;="&amp;Supuestos!$D$6,Pagos!$H$6:$H$305,"OK"),"")</f>
        <v/>
      </c>
      <c r="O316" s="48" t="str">
        <f>IF(AND(Creditos!$C$11&lt;&gt;"",Creditos!$M$11="OK",11&lt;=Creditos!$H$11),MIN(J316,MAX(0,N316-K316-H316)),"")</f>
        <v/>
      </c>
      <c r="P316" s="48" t="str">
        <f>IF(AND(Creditos!$C$11&lt;&gt;"",Creditos!$M$11="OK",11&lt;=Creditos!$H$11),MAX(0,L316-N316),"")</f>
        <v/>
      </c>
      <c r="Q316" s="50" t="str">
        <f>IF(AND(Creditos!$C$11&lt;&gt;"",Creditos!$M$11="OK",11&lt;=Creditos!$H$11),IF(AND(E316&lt;Supuestos!$D$6,P316&gt;0.005),Supuestos!$D$6-E316,0),"")</f>
        <v/>
      </c>
      <c r="R316" s="48" t="str">
        <f>IF(AND(Creditos!$C$11&lt;&gt;"",Creditos!$M$11="OK",11&lt;=Creditos!$H$11),MAX(0,N316-L316),"")</f>
        <v/>
      </c>
      <c r="S316" s="46" t="str">
        <f>IF(AND(Creditos!$C$11&lt;&gt;"",Creditos!$M$11="OK",11&lt;=Creditos!$H$11),IF(R316&gt;0.005,"Exceso sin imputar",IF(P316&lt;=0.005,"Pagada",IF(E316&lt;Supuestos!$D$6,"Vencida",IF(E316=Supuestos!$D$6,"Vence hoy","Por vencer")))),"")</f>
        <v/>
      </c>
      <c r="T316" s="46">
        <f>IF(AND(Creditos!$C$11&lt;&gt;"",Creditos!$M$11="OK",11&lt;=Creditos!$H$11),IF(P316&gt;0.005,E316,999999),999999)</f>
        <v>999999</v>
      </c>
    </row>
    <row r="317" ht="25.5" customHeight="1">
      <c r="C317" s="46" t="str">
        <f>IF(AND(Creditos!$C$11&lt;&gt;"",Creditos!$M$11="OK",12&lt;=Creditos!$H$11),Creditos!$C$11,"")</f>
        <v/>
      </c>
      <c r="D317" s="46" t="str">
        <f>IF(AND(Creditos!$C$11&lt;&gt;"",Creditos!$M$11="OK",12&lt;=Creditos!$H$11),12,"")</f>
        <v/>
      </c>
      <c r="E317" s="47" t="str">
        <f>IF(AND(Creditos!$C$11&lt;&gt;"",Creditos!$M$11="OK",12&lt;=Creditos!$H$11),EDATE(Creditos!$I$11,11),"")</f>
        <v/>
      </c>
      <c r="F317" s="48" t="str">
        <f>IF(AND(Creditos!$C$11&lt;&gt;"",Creditos!$M$11="OK",12&lt;=Creditos!$H$11),M316,"")</f>
        <v/>
      </c>
      <c r="G317" s="49" t="str">
        <f>IF(AND(Creditos!$C$11&lt;&gt;"",Creditos!$M$11="OK",12&lt;=Creditos!$H$11),Creditos!$N$11,"")</f>
        <v/>
      </c>
      <c r="H317" s="48" t="str">
        <f>IF(AND(Creditos!$C$11&lt;&gt;"",Creditos!$M$11="OK",12&lt;=Creditos!$H$11),ROUND(F317*G317,2),"")</f>
        <v/>
      </c>
      <c r="I317" s="48" t="str">
        <f>IF(AND(Creditos!$C$11&lt;&gt;"",Creditos!$M$11="OK",12&lt;=Creditos!$H$11),IF(12=Creditos!$H$11,F317+H317,MIN(Creditos!$O$11,F317+H317)),"")</f>
        <v/>
      </c>
      <c r="J317" s="48" t="str">
        <f>IF(AND(Creditos!$C$11&lt;&gt;"",Creditos!$M$11="OK",12&lt;=Creditos!$H$11),MIN(F317,MAX(0,I317-H317)),"")</f>
        <v/>
      </c>
      <c r="K317" s="48" t="str">
        <f>IF(AND(Creditos!$C$11&lt;&gt;"",Creditos!$M$11="OK",12&lt;=Creditos!$H$11),Creditos!$J$11+Creditos!$K$11,"")</f>
        <v/>
      </c>
      <c r="L317" s="48" t="str">
        <f>IF(AND(Creditos!$C$11&lt;&gt;"",Creditos!$M$11="OK",12&lt;=Creditos!$H$11),I317+K317,"")</f>
        <v/>
      </c>
      <c r="M317" s="48" t="str">
        <f>IF(AND(Creditos!$C$11&lt;&gt;"",Creditos!$M$11="OK",12&lt;=Creditos!$H$11),MAX(0,F317-J317),"")</f>
        <v/>
      </c>
      <c r="N317" s="48" t="str">
        <f>IF(AND(Creditos!$C$11&lt;&gt;"",Creditos!$M$11="OK",12&lt;=Creditos!$H$11),SUMIFS(Pagos!$F$6:$F$305,Pagos!$C$6:$C$305,C317,Pagos!$D$6:$D$305,D317,Pagos!$E$6:$E$305,"&lt;="&amp;Supuestos!$D$6,Pagos!$H$6:$H$305,"OK"),"")</f>
        <v/>
      </c>
      <c r="O317" s="48" t="str">
        <f>IF(AND(Creditos!$C$11&lt;&gt;"",Creditos!$M$11="OK",12&lt;=Creditos!$H$11),MIN(J317,MAX(0,N317-K317-H317)),"")</f>
        <v/>
      </c>
      <c r="P317" s="48" t="str">
        <f>IF(AND(Creditos!$C$11&lt;&gt;"",Creditos!$M$11="OK",12&lt;=Creditos!$H$11),MAX(0,L317-N317),"")</f>
        <v/>
      </c>
      <c r="Q317" s="50" t="str">
        <f>IF(AND(Creditos!$C$11&lt;&gt;"",Creditos!$M$11="OK",12&lt;=Creditos!$H$11),IF(AND(E317&lt;Supuestos!$D$6,P317&gt;0.005),Supuestos!$D$6-E317,0),"")</f>
        <v/>
      </c>
      <c r="R317" s="48" t="str">
        <f>IF(AND(Creditos!$C$11&lt;&gt;"",Creditos!$M$11="OK",12&lt;=Creditos!$H$11),MAX(0,N317-L317),"")</f>
        <v/>
      </c>
      <c r="S317" s="46" t="str">
        <f>IF(AND(Creditos!$C$11&lt;&gt;"",Creditos!$M$11="OK",12&lt;=Creditos!$H$11),IF(R317&gt;0.005,"Exceso sin imputar",IF(P317&lt;=0.005,"Pagada",IF(E317&lt;Supuestos!$D$6,"Vencida",IF(E317=Supuestos!$D$6,"Vence hoy","Por vencer")))),"")</f>
        <v/>
      </c>
      <c r="T317" s="46">
        <f>IF(AND(Creditos!$C$11&lt;&gt;"",Creditos!$M$11="OK",12&lt;=Creditos!$H$11),IF(P317&gt;0.005,E317,999999),999999)</f>
        <v>999999</v>
      </c>
    </row>
    <row r="318" ht="25.5" customHeight="1">
      <c r="C318" s="46" t="str">
        <f>IF(AND(Creditos!$C$11&lt;&gt;"",Creditos!$M$11="OK",13&lt;=Creditos!$H$11),Creditos!$C$11,"")</f>
        <v/>
      </c>
      <c r="D318" s="46" t="str">
        <f>IF(AND(Creditos!$C$11&lt;&gt;"",Creditos!$M$11="OK",13&lt;=Creditos!$H$11),13,"")</f>
        <v/>
      </c>
      <c r="E318" s="47" t="str">
        <f>IF(AND(Creditos!$C$11&lt;&gt;"",Creditos!$M$11="OK",13&lt;=Creditos!$H$11),EDATE(Creditos!$I$11,12),"")</f>
        <v/>
      </c>
      <c r="F318" s="48" t="str">
        <f>IF(AND(Creditos!$C$11&lt;&gt;"",Creditos!$M$11="OK",13&lt;=Creditos!$H$11),M317,"")</f>
        <v/>
      </c>
      <c r="G318" s="49" t="str">
        <f>IF(AND(Creditos!$C$11&lt;&gt;"",Creditos!$M$11="OK",13&lt;=Creditos!$H$11),Creditos!$N$11,"")</f>
        <v/>
      </c>
      <c r="H318" s="48" t="str">
        <f>IF(AND(Creditos!$C$11&lt;&gt;"",Creditos!$M$11="OK",13&lt;=Creditos!$H$11),ROUND(F318*G318,2),"")</f>
        <v/>
      </c>
      <c r="I318" s="48" t="str">
        <f>IF(AND(Creditos!$C$11&lt;&gt;"",Creditos!$M$11="OK",13&lt;=Creditos!$H$11),IF(13=Creditos!$H$11,F318+H318,MIN(Creditos!$O$11,F318+H318)),"")</f>
        <v/>
      </c>
      <c r="J318" s="48" t="str">
        <f>IF(AND(Creditos!$C$11&lt;&gt;"",Creditos!$M$11="OK",13&lt;=Creditos!$H$11),MIN(F318,MAX(0,I318-H318)),"")</f>
        <v/>
      </c>
      <c r="K318" s="48" t="str">
        <f>IF(AND(Creditos!$C$11&lt;&gt;"",Creditos!$M$11="OK",13&lt;=Creditos!$H$11),Creditos!$J$11+Creditos!$K$11,"")</f>
        <v/>
      </c>
      <c r="L318" s="48" t="str">
        <f>IF(AND(Creditos!$C$11&lt;&gt;"",Creditos!$M$11="OK",13&lt;=Creditos!$H$11),I318+K318,"")</f>
        <v/>
      </c>
      <c r="M318" s="48" t="str">
        <f>IF(AND(Creditos!$C$11&lt;&gt;"",Creditos!$M$11="OK",13&lt;=Creditos!$H$11),MAX(0,F318-J318),"")</f>
        <v/>
      </c>
      <c r="N318" s="48" t="str">
        <f>IF(AND(Creditos!$C$11&lt;&gt;"",Creditos!$M$11="OK",13&lt;=Creditos!$H$11),SUMIFS(Pagos!$F$6:$F$305,Pagos!$C$6:$C$305,C318,Pagos!$D$6:$D$305,D318,Pagos!$E$6:$E$305,"&lt;="&amp;Supuestos!$D$6,Pagos!$H$6:$H$305,"OK"),"")</f>
        <v/>
      </c>
      <c r="O318" s="48" t="str">
        <f>IF(AND(Creditos!$C$11&lt;&gt;"",Creditos!$M$11="OK",13&lt;=Creditos!$H$11),MIN(J318,MAX(0,N318-K318-H318)),"")</f>
        <v/>
      </c>
      <c r="P318" s="48" t="str">
        <f>IF(AND(Creditos!$C$11&lt;&gt;"",Creditos!$M$11="OK",13&lt;=Creditos!$H$11),MAX(0,L318-N318),"")</f>
        <v/>
      </c>
      <c r="Q318" s="50" t="str">
        <f>IF(AND(Creditos!$C$11&lt;&gt;"",Creditos!$M$11="OK",13&lt;=Creditos!$H$11),IF(AND(E318&lt;Supuestos!$D$6,P318&gt;0.005),Supuestos!$D$6-E318,0),"")</f>
        <v/>
      </c>
      <c r="R318" s="48" t="str">
        <f>IF(AND(Creditos!$C$11&lt;&gt;"",Creditos!$M$11="OK",13&lt;=Creditos!$H$11),MAX(0,N318-L318),"")</f>
        <v/>
      </c>
      <c r="S318" s="46" t="str">
        <f>IF(AND(Creditos!$C$11&lt;&gt;"",Creditos!$M$11="OK",13&lt;=Creditos!$H$11),IF(R318&gt;0.005,"Exceso sin imputar",IF(P318&lt;=0.005,"Pagada",IF(E318&lt;Supuestos!$D$6,"Vencida",IF(E318=Supuestos!$D$6,"Vence hoy","Por vencer")))),"")</f>
        <v/>
      </c>
      <c r="T318" s="46">
        <f>IF(AND(Creditos!$C$11&lt;&gt;"",Creditos!$M$11="OK",13&lt;=Creditos!$H$11),IF(P318&gt;0.005,E318,999999),999999)</f>
        <v>999999</v>
      </c>
    </row>
    <row r="319" ht="25.5" customHeight="1">
      <c r="C319" s="46" t="str">
        <f>IF(AND(Creditos!$C$11&lt;&gt;"",Creditos!$M$11="OK",14&lt;=Creditos!$H$11),Creditos!$C$11,"")</f>
        <v/>
      </c>
      <c r="D319" s="46" t="str">
        <f>IF(AND(Creditos!$C$11&lt;&gt;"",Creditos!$M$11="OK",14&lt;=Creditos!$H$11),14,"")</f>
        <v/>
      </c>
      <c r="E319" s="47" t="str">
        <f>IF(AND(Creditos!$C$11&lt;&gt;"",Creditos!$M$11="OK",14&lt;=Creditos!$H$11),EDATE(Creditos!$I$11,13),"")</f>
        <v/>
      </c>
      <c r="F319" s="48" t="str">
        <f>IF(AND(Creditos!$C$11&lt;&gt;"",Creditos!$M$11="OK",14&lt;=Creditos!$H$11),M318,"")</f>
        <v/>
      </c>
      <c r="G319" s="49" t="str">
        <f>IF(AND(Creditos!$C$11&lt;&gt;"",Creditos!$M$11="OK",14&lt;=Creditos!$H$11),Creditos!$N$11,"")</f>
        <v/>
      </c>
      <c r="H319" s="48" t="str">
        <f>IF(AND(Creditos!$C$11&lt;&gt;"",Creditos!$M$11="OK",14&lt;=Creditos!$H$11),ROUND(F319*G319,2),"")</f>
        <v/>
      </c>
      <c r="I319" s="48" t="str">
        <f>IF(AND(Creditos!$C$11&lt;&gt;"",Creditos!$M$11="OK",14&lt;=Creditos!$H$11),IF(14=Creditos!$H$11,F319+H319,MIN(Creditos!$O$11,F319+H319)),"")</f>
        <v/>
      </c>
      <c r="J319" s="48" t="str">
        <f>IF(AND(Creditos!$C$11&lt;&gt;"",Creditos!$M$11="OK",14&lt;=Creditos!$H$11),MIN(F319,MAX(0,I319-H319)),"")</f>
        <v/>
      </c>
      <c r="K319" s="48" t="str">
        <f>IF(AND(Creditos!$C$11&lt;&gt;"",Creditos!$M$11="OK",14&lt;=Creditos!$H$11),Creditos!$J$11+Creditos!$K$11,"")</f>
        <v/>
      </c>
      <c r="L319" s="48" t="str">
        <f>IF(AND(Creditos!$C$11&lt;&gt;"",Creditos!$M$11="OK",14&lt;=Creditos!$H$11),I319+K319,"")</f>
        <v/>
      </c>
      <c r="M319" s="48" t="str">
        <f>IF(AND(Creditos!$C$11&lt;&gt;"",Creditos!$M$11="OK",14&lt;=Creditos!$H$11),MAX(0,F319-J319),"")</f>
        <v/>
      </c>
      <c r="N319" s="48" t="str">
        <f>IF(AND(Creditos!$C$11&lt;&gt;"",Creditos!$M$11="OK",14&lt;=Creditos!$H$11),SUMIFS(Pagos!$F$6:$F$305,Pagos!$C$6:$C$305,C319,Pagos!$D$6:$D$305,D319,Pagos!$E$6:$E$305,"&lt;="&amp;Supuestos!$D$6,Pagos!$H$6:$H$305,"OK"),"")</f>
        <v/>
      </c>
      <c r="O319" s="48" t="str">
        <f>IF(AND(Creditos!$C$11&lt;&gt;"",Creditos!$M$11="OK",14&lt;=Creditos!$H$11),MIN(J319,MAX(0,N319-K319-H319)),"")</f>
        <v/>
      </c>
      <c r="P319" s="48" t="str">
        <f>IF(AND(Creditos!$C$11&lt;&gt;"",Creditos!$M$11="OK",14&lt;=Creditos!$H$11),MAX(0,L319-N319),"")</f>
        <v/>
      </c>
      <c r="Q319" s="50" t="str">
        <f>IF(AND(Creditos!$C$11&lt;&gt;"",Creditos!$M$11="OK",14&lt;=Creditos!$H$11),IF(AND(E319&lt;Supuestos!$D$6,P319&gt;0.005),Supuestos!$D$6-E319,0),"")</f>
        <v/>
      </c>
      <c r="R319" s="48" t="str">
        <f>IF(AND(Creditos!$C$11&lt;&gt;"",Creditos!$M$11="OK",14&lt;=Creditos!$H$11),MAX(0,N319-L319),"")</f>
        <v/>
      </c>
      <c r="S319" s="46" t="str">
        <f>IF(AND(Creditos!$C$11&lt;&gt;"",Creditos!$M$11="OK",14&lt;=Creditos!$H$11),IF(R319&gt;0.005,"Exceso sin imputar",IF(P319&lt;=0.005,"Pagada",IF(E319&lt;Supuestos!$D$6,"Vencida",IF(E319=Supuestos!$D$6,"Vence hoy","Por vencer")))),"")</f>
        <v/>
      </c>
      <c r="T319" s="46">
        <f>IF(AND(Creditos!$C$11&lt;&gt;"",Creditos!$M$11="OK",14&lt;=Creditos!$H$11),IF(P319&gt;0.005,E319,999999),999999)</f>
        <v>999999</v>
      </c>
    </row>
    <row r="320" ht="25.5" customHeight="1">
      <c r="C320" s="46" t="str">
        <f>IF(AND(Creditos!$C$11&lt;&gt;"",Creditos!$M$11="OK",15&lt;=Creditos!$H$11),Creditos!$C$11,"")</f>
        <v/>
      </c>
      <c r="D320" s="46" t="str">
        <f>IF(AND(Creditos!$C$11&lt;&gt;"",Creditos!$M$11="OK",15&lt;=Creditos!$H$11),15,"")</f>
        <v/>
      </c>
      <c r="E320" s="47" t="str">
        <f>IF(AND(Creditos!$C$11&lt;&gt;"",Creditos!$M$11="OK",15&lt;=Creditos!$H$11),EDATE(Creditos!$I$11,14),"")</f>
        <v/>
      </c>
      <c r="F320" s="48" t="str">
        <f>IF(AND(Creditos!$C$11&lt;&gt;"",Creditos!$M$11="OK",15&lt;=Creditos!$H$11),M319,"")</f>
        <v/>
      </c>
      <c r="G320" s="49" t="str">
        <f>IF(AND(Creditos!$C$11&lt;&gt;"",Creditos!$M$11="OK",15&lt;=Creditos!$H$11),Creditos!$N$11,"")</f>
        <v/>
      </c>
      <c r="H320" s="48" t="str">
        <f>IF(AND(Creditos!$C$11&lt;&gt;"",Creditos!$M$11="OK",15&lt;=Creditos!$H$11),ROUND(F320*G320,2),"")</f>
        <v/>
      </c>
      <c r="I320" s="48" t="str">
        <f>IF(AND(Creditos!$C$11&lt;&gt;"",Creditos!$M$11="OK",15&lt;=Creditos!$H$11),IF(15=Creditos!$H$11,F320+H320,MIN(Creditos!$O$11,F320+H320)),"")</f>
        <v/>
      </c>
      <c r="J320" s="48" t="str">
        <f>IF(AND(Creditos!$C$11&lt;&gt;"",Creditos!$M$11="OK",15&lt;=Creditos!$H$11),MIN(F320,MAX(0,I320-H320)),"")</f>
        <v/>
      </c>
      <c r="K320" s="48" t="str">
        <f>IF(AND(Creditos!$C$11&lt;&gt;"",Creditos!$M$11="OK",15&lt;=Creditos!$H$11),Creditos!$J$11+Creditos!$K$11,"")</f>
        <v/>
      </c>
      <c r="L320" s="48" t="str">
        <f>IF(AND(Creditos!$C$11&lt;&gt;"",Creditos!$M$11="OK",15&lt;=Creditos!$H$11),I320+K320,"")</f>
        <v/>
      </c>
      <c r="M320" s="48" t="str">
        <f>IF(AND(Creditos!$C$11&lt;&gt;"",Creditos!$M$11="OK",15&lt;=Creditos!$H$11),MAX(0,F320-J320),"")</f>
        <v/>
      </c>
      <c r="N320" s="48" t="str">
        <f>IF(AND(Creditos!$C$11&lt;&gt;"",Creditos!$M$11="OK",15&lt;=Creditos!$H$11),SUMIFS(Pagos!$F$6:$F$305,Pagos!$C$6:$C$305,C320,Pagos!$D$6:$D$305,D320,Pagos!$E$6:$E$305,"&lt;="&amp;Supuestos!$D$6,Pagos!$H$6:$H$305,"OK"),"")</f>
        <v/>
      </c>
      <c r="O320" s="48" t="str">
        <f>IF(AND(Creditos!$C$11&lt;&gt;"",Creditos!$M$11="OK",15&lt;=Creditos!$H$11),MIN(J320,MAX(0,N320-K320-H320)),"")</f>
        <v/>
      </c>
      <c r="P320" s="48" t="str">
        <f>IF(AND(Creditos!$C$11&lt;&gt;"",Creditos!$M$11="OK",15&lt;=Creditos!$H$11),MAX(0,L320-N320),"")</f>
        <v/>
      </c>
      <c r="Q320" s="50" t="str">
        <f>IF(AND(Creditos!$C$11&lt;&gt;"",Creditos!$M$11="OK",15&lt;=Creditos!$H$11),IF(AND(E320&lt;Supuestos!$D$6,P320&gt;0.005),Supuestos!$D$6-E320,0),"")</f>
        <v/>
      </c>
      <c r="R320" s="48" t="str">
        <f>IF(AND(Creditos!$C$11&lt;&gt;"",Creditos!$M$11="OK",15&lt;=Creditos!$H$11),MAX(0,N320-L320),"")</f>
        <v/>
      </c>
      <c r="S320" s="46" t="str">
        <f>IF(AND(Creditos!$C$11&lt;&gt;"",Creditos!$M$11="OK",15&lt;=Creditos!$H$11),IF(R320&gt;0.005,"Exceso sin imputar",IF(P320&lt;=0.005,"Pagada",IF(E320&lt;Supuestos!$D$6,"Vencida",IF(E320=Supuestos!$D$6,"Vence hoy","Por vencer")))),"")</f>
        <v/>
      </c>
      <c r="T320" s="46">
        <f>IF(AND(Creditos!$C$11&lt;&gt;"",Creditos!$M$11="OK",15&lt;=Creditos!$H$11),IF(P320&gt;0.005,E320,999999),999999)</f>
        <v>999999</v>
      </c>
    </row>
    <row r="321" ht="25.5" customHeight="1">
      <c r="C321" s="46" t="str">
        <f>IF(AND(Creditos!$C$11&lt;&gt;"",Creditos!$M$11="OK",16&lt;=Creditos!$H$11),Creditos!$C$11,"")</f>
        <v/>
      </c>
      <c r="D321" s="46" t="str">
        <f>IF(AND(Creditos!$C$11&lt;&gt;"",Creditos!$M$11="OK",16&lt;=Creditos!$H$11),16,"")</f>
        <v/>
      </c>
      <c r="E321" s="47" t="str">
        <f>IF(AND(Creditos!$C$11&lt;&gt;"",Creditos!$M$11="OK",16&lt;=Creditos!$H$11),EDATE(Creditos!$I$11,15),"")</f>
        <v/>
      </c>
      <c r="F321" s="48" t="str">
        <f>IF(AND(Creditos!$C$11&lt;&gt;"",Creditos!$M$11="OK",16&lt;=Creditos!$H$11),M320,"")</f>
        <v/>
      </c>
      <c r="G321" s="49" t="str">
        <f>IF(AND(Creditos!$C$11&lt;&gt;"",Creditos!$M$11="OK",16&lt;=Creditos!$H$11),Creditos!$N$11,"")</f>
        <v/>
      </c>
      <c r="H321" s="48" t="str">
        <f>IF(AND(Creditos!$C$11&lt;&gt;"",Creditos!$M$11="OK",16&lt;=Creditos!$H$11),ROUND(F321*G321,2),"")</f>
        <v/>
      </c>
      <c r="I321" s="48" t="str">
        <f>IF(AND(Creditos!$C$11&lt;&gt;"",Creditos!$M$11="OK",16&lt;=Creditos!$H$11),IF(16=Creditos!$H$11,F321+H321,MIN(Creditos!$O$11,F321+H321)),"")</f>
        <v/>
      </c>
      <c r="J321" s="48" t="str">
        <f>IF(AND(Creditos!$C$11&lt;&gt;"",Creditos!$M$11="OK",16&lt;=Creditos!$H$11),MIN(F321,MAX(0,I321-H321)),"")</f>
        <v/>
      </c>
      <c r="K321" s="48" t="str">
        <f>IF(AND(Creditos!$C$11&lt;&gt;"",Creditos!$M$11="OK",16&lt;=Creditos!$H$11),Creditos!$J$11+Creditos!$K$11,"")</f>
        <v/>
      </c>
      <c r="L321" s="48" t="str">
        <f>IF(AND(Creditos!$C$11&lt;&gt;"",Creditos!$M$11="OK",16&lt;=Creditos!$H$11),I321+K321,"")</f>
        <v/>
      </c>
      <c r="M321" s="48" t="str">
        <f>IF(AND(Creditos!$C$11&lt;&gt;"",Creditos!$M$11="OK",16&lt;=Creditos!$H$11),MAX(0,F321-J321),"")</f>
        <v/>
      </c>
      <c r="N321" s="48" t="str">
        <f>IF(AND(Creditos!$C$11&lt;&gt;"",Creditos!$M$11="OK",16&lt;=Creditos!$H$11),SUMIFS(Pagos!$F$6:$F$305,Pagos!$C$6:$C$305,C321,Pagos!$D$6:$D$305,D321,Pagos!$E$6:$E$305,"&lt;="&amp;Supuestos!$D$6,Pagos!$H$6:$H$305,"OK"),"")</f>
        <v/>
      </c>
      <c r="O321" s="48" t="str">
        <f>IF(AND(Creditos!$C$11&lt;&gt;"",Creditos!$M$11="OK",16&lt;=Creditos!$H$11),MIN(J321,MAX(0,N321-K321-H321)),"")</f>
        <v/>
      </c>
      <c r="P321" s="48" t="str">
        <f>IF(AND(Creditos!$C$11&lt;&gt;"",Creditos!$M$11="OK",16&lt;=Creditos!$H$11),MAX(0,L321-N321),"")</f>
        <v/>
      </c>
      <c r="Q321" s="50" t="str">
        <f>IF(AND(Creditos!$C$11&lt;&gt;"",Creditos!$M$11="OK",16&lt;=Creditos!$H$11),IF(AND(E321&lt;Supuestos!$D$6,P321&gt;0.005),Supuestos!$D$6-E321,0),"")</f>
        <v/>
      </c>
      <c r="R321" s="48" t="str">
        <f>IF(AND(Creditos!$C$11&lt;&gt;"",Creditos!$M$11="OK",16&lt;=Creditos!$H$11),MAX(0,N321-L321),"")</f>
        <v/>
      </c>
      <c r="S321" s="46" t="str">
        <f>IF(AND(Creditos!$C$11&lt;&gt;"",Creditos!$M$11="OK",16&lt;=Creditos!$H$11),IF(R321&gt;0.005,"Exceso sin imputar",IF(P321&lt;=0.005,"Pagada",IF(E321&lt;Supuestos!$D$6,"Vencida",IF(E321=Supuestos!$D$6,"Vence hoy","Por vencer")))),"")</f>
        <v/>
      </c>
      <c r="T321" s="46">
        <f>IF(AND(Creditos!$C$11&lt;&gt;"",Creditos!$M$11="OK",16&lt;=Creditos!$H$11),IF(P321&gt;0.005,E321,999999),999999)</f>
        <v>999999</v>
      </c>
    </row>
    <row r="322" ht="25.5" customHeight="1">
      <c r="C322" s="46" t="str">
        <f>IF(AND(Creditos!$C$11&lt;&gt;"",Creditos!$M$11="OK",17&lt;=Creditos!$H$11),Creditos!$C$11,"")</f>
        <v/>
      </c>
      <c r="D322" s="46" t="str">
        <f>IF(AND(Creditos!$C$11&lt;&gt;"",Creditos!$M$11="OK",17&lt;=Creditos!$H$11),17,"")</f>
        <v/>
      </c>
      <c r="E322" s="47" t="str">
        <f>IF(AND(Creditos!$C$11&lt;&gt;"",Creditos!$M$11="OK",17&lt;=Creditos!$H$11),EDATE(Creditos!$I$11,16),"")</f>
        <v/>
      </c>
      <c r="F322" s="48" t="str">
        <f>IF(AND(Creditos!$C$11&lt;&gt;"",Creditos!$M$11="OK",17&lt;=Creditos!$H$11),M321,"")</f>
        <v/>
      </c>
      <c r="G322" s="49" t="str">
        <f>IF(AND(Creditos!$C$11&lt;&gt;"",Creditos!$M$11="OK",17&lt;=Creditos!$H$11),Creditos!$N$11,"")</f>
        <v/>
      </c>
      <c r="H322" s="48" t="str">
        <f>IF(AND(Creditos!$C$11&lt;&gt;"",Creditos!$M$11="OK",17&lt;=Creditos!$H$11),ROUND(F322*G322,2),"")</f>
        <v/>
      </c>
      <c r="I322" s="48" t="str">
        <f>IF(AND(Creditos!$C$11&lt;&gt;"",Creditos!$M$11="OK",17&lt;=Creditos!$H$11),IF(17=Creditos!$H$11,F322+H322,MIN(Creditos!$O$11,F322+H322)),"")</f>
        <v/>
      </c>
      <c r="J322" s="48" t="str">
        <f>IF(AND(Creditos!$C$11&lt;&gt;"",Creditos!$M$11="OK",17&lt;=Creditos!$H$11),MIN(F322,MAX(0,I322-H322)),"")</f>
        <v/>
      </c>
      <c r="K322" s="48" t="str">
        <f>IF(AND(Creditos!$C$11&lt;&gt;"",Creditos!$M$11="OK",17&lt;=Creditos!$H$11),Creditos!$J$11+Creditos!$K$11,"")</f>
        <v/>
      </c>
      <c r="L322" s="48" t="str">
        <f>IF(AND(Creditos!$C$11&lt;&gt;"",Creditos!$M$11="OK",17&lt;=Creditos!$H$11),I322+K322,"")</f>
        <v/>
      </c>
      <c r="M322" s="48" t="str">
        <f>IF(AND(Creditos!$C$11&lt;&gt;"",Creditos!$M$11="OK",17&lt;=Creditos!$H$11),MAX(0,F322-J322),"")</f>
        <v/>
      </c>
      <c r="N322" s="48" t="str">
        <f>IF(AND(Creditos!$C$11&lt;&gt;"",Creditos!$M$11="OK",17&lt;=Creditos!$H$11),SUMIFS(Pagos!$F$6:$F$305,Pagos!$C$6:$C$305,C322,Pagos!$D$6:$D$305,D322,Pagos!$E$6:$E$305,"&lt;="&amp;Supuestos!$D$6,Pagos!$H$6:$H$305,"OK"),"")</f>
        <v/>
      </c>
      <c r="O322" s="48" t="str">
        <f>IF(AND(Creditos!$C$11&lt;&gt;"",Creditos!$M$11="OK",17&lt;=Creditos!$H$11),MIN(J322,MAX(0,N322-K322-H322)),"")</f>
        <v/>
      </c>
      <c r="P322" s="48" t="str">
        <f>IF(AND(Creditos!$C$11&lt;&gt;"",Creditos!$M$11="OK",17&lt;=Creditos!$H$11),MAX(0,L322-N322),"")</f>
        <v/>
      </c>
      <c r="Q322" s="50" t="str">
        <f>IF(AND(Creditos!$C$11&lt;&gt;"",Creditos!$M$11="OK",17&lt;=Creditos!$H$11),IF(AND(E322&lt;Supuestos!$D$6,P322&gt;0.005),Supuestos!$D$6-E322,0),"")</f>
        <v/>
      </c>
      <c r="R322" s="48" t="str">
        <f>IF(AND(Creditos!$C$11&lt;&gt;"",Creditos!$M$11="OK",17&lt;=Creditos!$H$11),MAX(0,N322-L322),"")</f>
        <v/>
      </c>
      <c r="S322" s="46" t="str">
        <f>IF(AND(Creditos!$C$11&lt;&gt;"",Creditos!$M$11="OK",17&lt;=Creditos!$H$11),IF(R322&gt;0.005,"Exceso sin imputar",IF(P322&lt;=0.005,"Pagada",IF(E322&lt;Supuestos!$D$6,"Vencida",IF(E322=Supuestos!$D$6,"Vence hoy","Por vencer")))),"")</f>
        <v/>
      </c>
      <c r="T322" s="46">
        <f>IF(AND(Creditos!$C$11&lt;&gt;"",Creditos!$M$11="OK",17&lt;=Creditos!$H$11),IF(P322&gt;0.005,E322,999999),999999)</f>
        <v>999999</v>
      </c>
    </row>
    <row r="323" ht="25.5" customHeight="1">
      <c r="C323" s="46" t="str">
        <f>IF(AND(Creditos!$C$11&lt;&gt;"",Creditos!$M$11="OK",18&lt;=Creditos!$H$11),Creditos!$C$11,"")</f>
        <v/>
      </c>
      <c r="D323" s="46" t="str">
        <f>IF(AND(Creditos!$C$11&lt;&gt;"",Creditos!$M$11="OK",18&lt;=Creditos!$H$11),18,"")</f>
        <v/>
      </c>
      <c r="E323" s="47" t="str">
        <f>IF(AND(Creditos!$C$11&lt;&gt;"",Creditos!$M$11="OK",18&lt;=Creditos!$H$11),EDATE(Creditos!$I$11,17),"")</f>
        <v/>
      </c>
      <c r="F323" s="48" t="str">
        <f>IF(AND(Creditos!$C$11&lt;&gt;"",Creditos!$M$11="OK",18&lt;=Creditos!$H$11),M322,"")</f>
        <v/>
      </c>
      <c r="G323" s="49" t="str">
        <f>IF(AND(Creditos!$C$11&lt;&gt;"",Creditos!$M$11="OK",18&lt;=Creditos!$H$11),Creditos!$N$11,"")</f>
        <v/>
      </c>
      <c r="H323" s="48" t="str">
        <f>IF(AND(Creditos!$C$11&lt;&gt;"",Creditos!$M$11="OK",18&lt;=Creditos!$H$11),ROUND(F323*G323,2),"")</f>
        <v/>
      </c>
      <c r="I323" s="48" t="str">
        <f>IF(AND(Creditos!$C$11&lt;&gt;"",Creditos!$M$11="OK",18&lt;=Creditos!$H$11),IF(18=Creditos!$H$11,F323+H323,MIN(Creditos!$O$11,F323+H323)),"")</f>
        <v/>
      </c>
      <c r="J323" s="48" t="str">
        <f>IF(AND(Creditos!$C$11&lt;&gt;"",Creditos!$M$11="OK",18&lt;=Creditos!$H$11),MIN(F323,MAX(0,I323-H323)),"")</f>
        <v/>
      </c>
      <c r="K323" s="48" t="str">
        <f>IF(AND(Creditos!$C$11&lt;&gt;"",Creditos!$M$11="OK",18&lt;=Creditos!$H$11),Creditos!$J$11+Creditos!$K$11,"")</f>
        <v/>
      </c>
      <c r="L323" s="48" t="str">
        <f>IF(AND(Creditos!$C$11&lt;&gt;"",Creditos!$M$11="OK",18&lt;=Creditos!$H$11),I323+K323,"")</f>
        <v/>
      </c>
      <c r="M323" s="48" t="str">
        <f>IF(AND(Creditos!$C$11&lt;&gt;"",Creditos!$M$11="OK",18&lt;=Creditos!$H$11),MAX(0,F323-J323),"")</f>
        <v/>
      </c>
      <c r="N323" s="48" t="str">
        <f>IF(AND(Creditos!$C$11&lt;&gt;"",Creditos!$M$11="OK",18&lt;=Creditos!$H$11),SUMIFS(Pagos!$F$6:$F$305,Pagos!$C$6:$C$305,C323,Pagos!$D$6:$D$305,D323,Pagos!$E$6:$E$305,"&lt;="&amp;Supuestos!$D$6,Pagos!$H$6:$H$305,"OK"),"")</f>
        <v/>
      </c>
      <c r="O323" s="48" t="str">
        <f>IF(AND(Creditos!$C$11&lt;&gt;"",Creditos!$M$11="OK",18&lt;=Creditos!$H$11),MIN(J323,MAX(0,N323-K323-H323)),"")</f>
        <v/>
      </c>
      <c r="P323" s="48" t="str">
        <f>IF(AND(Creditos!$C$11&lt;&gt;"",Creditos!$M$11="OK",18&lt;=Creditos!$H$11),MAX(0,L323-N323),"")</f>
        <v/>
      </c>
      <c r="Q323" s="50" t="str">
        <f>IF(AND(Creditos!$C$11&lt;&gt;"",Creditos!$M$11="OK",18&lt;=Creditos!$H$11),IF(AND(E323&lt;Supuestos!$D$6,P323&gt;0.005),Supuestos!$D$6-E323,0),"")</f>
        <v/>
      </c>
      <c r="R323" s="48" t="str">
        <f>IF(AND(Creditos!$C$11&lt;&gt;"",Creditos!$M$11="OK",18&lt;=Creditos!$H$11),MAX(0,N323-L323),"")</f>
        <v/>
      </c>
      <c r="S323" s="46" t="str">
        <f>IF(AND(Creditos!$C$11&lt;&gt;"",Creditos!$M$11="OK",18&lt;=Creditos!$H$11),IF(R323&gt;0.005,"Exceso sin imputar",IF(P323&lt;=0.005,"Pagada",IF(E323&lt;Supuestos!$D$6,"Vencida",IF(E323=Supuestos!$D$6,"Vence hoy","Por vencer")))),"")</f>
        <v/>
      </c>
      <c r="T323" s="46">
        <f>IF(AND(Creditos!$C$11&lt;&gt;"",Creditos!$M$11="OK",18&lt;=Creditos!$H$11),IF(P323&gt;0.005,E323,999999),999999)</f>
        <v>999999</v>
      </c>
    </row>
    <row r="324" ht="25.5" customHeight="1">
      <c r="C324" s="46" t="str">
        <f>IF(AND(Creditos!$C$11&lt;&gt;"",Creditos!$M$11="OK",19&lt;=Creditos!$H$11),Creditos!$C$11,"")</f>
        <v/>
      </c>
      <c r="D324" s="46" t="str">
        <f>IF(AND(Creditos!$C$11&lt;&gt;"",Creditos!$M$11="OK",19&lt;=Creditos!$H$11),19,"")</f>
        <v/>
      </c>
      <c r="E324" s="47" t="str">
        <f>IF(AND(Creditos!$C$11&lt;&gt;"",Creditos!$M$11="OK",19&lt;=Creditos!$H$11),EDATE(Creditos!$I$11,18),"")</f>
        <v/>
      </c>
      <c r="F324" s="48" t="str">
        <f>IF(AND(Creditos!$C$11&lt;&gt;"",Creditos!$M$11="OK",19&lt;=Creditos!$H$11),M323,"")</f>
        <v/>
      </c>
      <c r="G324" s="49" t="str">
        <f>IF(AND(Creditos!$C$11&lt;&gt;"",Creditos!$M$11="OK",19&lt;=Creditos!$H$11),Creditos!$N$11,"")</f>
        <v/>
      </c>
      <c r="H324" s="48" t="str">
        <f>IF(AND(Creditos!$C$11&lt;&gt;"",Creditos!$M$11="OK",19&lt;=Creditos!$H$11),ROUND(F324*G324,2),"")</f>
        <v/>
      </c>
      <c r="I324" s="48" t="str">
        <f>IF(AND(Creditos!$C$11&lt;&gt;"",Creditos!$M$11="OK",19&lt;=Creditos!$H$11),IF(19=Creditos!$H$11,F324+H324,MIN(Creditos!$O$11,F324+H324)),"")</f>
        <v/>
      </c>
      <c r="J324" s="48" t="str">
        <f>IF(AND(Creditos!$C$11&lt;&gt;"",Creditos!$M$11="OK",19&lt;=Creditos!$H$11),MIN(F324,MAX(0,I324-H324)),"")</f>
        <v/>
      </c>
      <c r="K324" s="48" t="str">
        <f>IF(AND(Creditos!$C$11&lt;&gt;"",Creditos!$M$11="OK",19&lt;=Creditos!$H$11),Creditos!$J$11+Creditos!$K$11,"")</f>
        <v/>
      </c>
      <c r="L324" s="48" t="str">
        <f>IF(AND(Creditos!$C$11&lt;&gt;"",Creditos!$M$11="OK",19&lt;=Creditos!$H$11),I324+K324,"")</f>
        <v/>
      </c>
      <c r="M324" s="48" t="str">
        <f>IF(AND(Creditos!$C$11&lt;&gt;"",Creditos!$M$11="OK",19&lt;=Creditos!$H$11),MAX(0,F324-J324),"")</f>
        <v/>
      </c>
      <c r="N324" s="48" t="str">
        <f>IF(AND(Creditos!$C$11&lt;&gt;"",Creditos!$M$11="OK",19&lt;=Creditos!$H$11),SUMIFS(Pagos!$F$6:$F$305,Pagos!$C$6:$C$305,C324,Pagos!$D$6:$D$305,D324,Pagos!$E$6:$E$305,"&lt;="&amp;Supuestos!$D$6,Pagos!$H$6:$H$305,"OK"),"")</f>
        <v/>
      </c>
      <c r="O324" s="48" t="str">
        <f>IF(AND(Creditos!$C$11&lt;&gt;"",Creditos!$M$11="OK",19&lt;=Creditos!$H$11),MIN(J324,MAX(0,N324-K324-H324)),"")</f>
        <v/>
      </c>
      <c r="P324" s="48" t="str">
        <f>IF(AND(Creditos!$C$11&lt;&gt;"",Creditos!$M$11="OK",19&lt;=Creditos!$H$11),MAX(0,L324-N324),"")</f>
        <v/>
      </c>
      <c r="Q324" s="50" t="str">
        <f>IF(AND(Creditos!$C$11&lt;&gt;"",Creditos!$M$11="OK",19&lt;=Creditos!$H$11),IF(AND(E324&lt;Supuestos!$D$6,P324&gt;0.005),Supuestos!$D$6-E324,0),"")</f>
        <v/>
      </c>
      <c r="R324" s="48" t="str">
        <f>IF(AND(Creditos!$C$11&lt;&gt;"",Creditos!$M$11="OK",19&lt;=Creditos!$H$11),MAX(0,N324-L324),"")</f>
        <v/>
      </c>
      <c r="S324" s="46" t="str">
        <f>IF(AND(Creditos!$C$11&lt;&gt;"",Creditos!$M$11="OK",19&lt;=Creditos!$H$11),IF(R324&gt;0.005,"Exceso sin imputar",IF(P324&lt;=0.005,"Pagada",IF(E324&lt;Supuestos!$D$6,"Vencida",IF(E324=Supuestos!$D$6,"Vence hoy","Por vencer")))),"")</f>
        <v/>
      </c>
      <c r="T324" s="46">
        <f>IF(AND(Creditos!$C$11&lt;&gt;"",Creditos!$M$11="OK",19&lt;=Creditos!$H$11),IF(P324&gt;0.005,E324,999999),999999)</f>
        <v>999999</v>
      </c>
    </row>
    <row r="325" ht="25.5" customHeight="1">
      <c r="C325" s="46" t="str">
        <f>IF(AND(Creditos!$C$11&lt;&gt;"",Creditos!$M$11="OK",20&lt;=Creditos!$H$11),Creditos!$C$11,"")</f>
        <v/>
      </c>
      <c r="D325" s="46" t="str">
        <f>IF(AND(Creditos!$C$11&lt;&gt;"",Creditos!$M$11="OK",20&lt;=Creditos!$H$11),20,"")</f>
        <v/>
      </c>
      <c r="E325" s="47" t="str">
        <f>IF(AND(Creditos!$C$11&lt;&gt;"",Creditos!$M$11="OK",20&lt;=Creditos!$H$11),EDATE(Creditos!$I$11,19),"")</f>
        <v/>
      </c>
      <c r="F325" s="48" t="str">
        <f>IF(AND(Creditos!$C$11&lt;&gt;"",Creditos!$M$11="OK",20&lt;=Creditos!$H$11),M324,"")</f>
        <v/>
      </c>
      <c r="G325" s="49" t="str">
        <f>IF(AND(Creditos!$C$11&lt;&gt;"",Creditos!$M$11="OK",20&lt;=Creditos!$H$11),Creditos!$N$11,"")</f>
        <v/>
      </c>
      <c r="H325" s="48" t="str">
        <f>IF(AND(Creditos!$C$11&lt;&gt;"",Creditos!$M$11="OK",20&lt;=Creditos!$H$11),ROUND(F325*G325,2),"")</f>
        <v/>
      </c>
      <c r="I325" s="48" t="str">
        <f>IF(AND(Creditos!$C$11&lt;&gt;"",Creditos!$M$11="OK",20&lt;=Creditos!$H$11),IF(20=Creditos!$H$11,F325+H325,MIN(Creditos!$O$11,F325+H325)),"")</f>
        <v/>
      </c>
      <c r="J325" s="48" t="str">
        <f>IF(AND(Creditos!$C$11&lt;&gt;"",Creditos!$M$11="OK",20&lt;=Creditos!$H$11),MIN(F325,MAX(0,I325-H325)),"")</f>
        <v/>
      </c>
      <c r="K325" s="48" t="str">
        <f>IF(AND(Creditos!$C$11&lt;&gt;"",Creditos!$M$11="OK",20&lt;=Creditos!$H$11),Creditos!$J$11+Creditos!$K$11,"")</f>
        <v/>
      </c>
      <c r="L325" s="48" t="str">
        <f>IF(AND(Creditos!$C$11&lt;&gt;"",Creditos!$M$11="OK",20&lt;=Creditos!$H$11),I325+K325,"")</f>
        <v/>
      </c>
      <c r="M325" s="48" t="str">
        <f>IF(AND(Creditos!$C$11&lt;&gt;"",Creditos!$M$11="OK",20&lt;=Creditos!$H$11),MAX(0,F325-J325),"")</f>
        <v/>
      </c>
      <c r="N325" s="48" t="str">
        <f>IF(AND(Creditos!$C$11&lt;&gt;"",Creditos!$M$11="OK",20&lt;=Creditos!$H$11),SUMIFS(Pagos!$F$6:$F$305,Pagos!$C$6:$C$305,C325,Pagos!$D$6:$D$305,D325,Pagos!$E$6:$E$305,"&lt;="&amp;Supuestos!$D$6,Pagos!$H$6:$H$305,"OK"),"")</f>
        <v/>
      </c>
      <c r="O325" s="48" t="str">
        <f>IF(AND(Creditos!$C$11&lt;&gt;"",Creditos!$M$11="OK",20&lt;=Creditos!$H$11),MIN(J325,MAX(0,N325-K325-H325)),"")</f>
        <v/>
      </c>
      <c r="P325" s="48" t="str">
        <f>IF(AND(Creditos!$C$11&lt;&gt;"",Creditos!$M$11="OK",20&lt;=Creditos!$H$11),MAX(0,L325-N325),"")</f>
        <v/>
      </c>
      <c r="Q325" s="50" t="str">
        <f>IF(AND(Creditos!$C$11&lt;&gt;"",Creditos!$M$11="OK",20&lt;=Creditos!$H$11),IF(AND(E325&lt;Supuestos!$D$6,P325&gt;0.005),Supuestos!$D$6-E325,0),"")</f>
        <v/>
      </c>
      <c r="R325" s="48" t="str">
        <f>IF(AND(Creditos!$C$11&lt;&gt;"",Creditos!$M$11="OK",20&lt;=Creditos!$H$11),MAX(0,N325-L325),"")</f>
        <v/>
      </c>
      <c r="S325" s="46" t="str">
        <f>IF(AND(Creditos!$C$11&lt;&gt;"",Creditos!$M$11="OK",20&lt;=Creditos!$H$11),IF(R325&gt;0.005,"Exceso sin imputar",IF(P325&lt;=0.005,"Pagada",IF(E325&lt;Supuestos!$D$6,"Vencida",IF(E325=Supuestos!$D$6,"Vence hoy","Por vencer")))),"")</f>
        <v/>
      </c>
      <c r="T325" s="46">
        <f>IF(AND(Creditos!$C$11&lt;&gt;"",Creditos!$M$11="OK",20&lt;=Creditos!$H$11),IF(P325&gt;0.005,E325,999999),999999)</f>
        <v>999999</v>
      </c>
    </row>
    <row r="326" ht="25.5" customHeight="1">
      <c r="C326" s="46" t="str">
        <f>IF(AND(Creditos!$C$11&lt;&gt;"",Creditos!$M$11="OK",21&lt;=Creditos!$H$11),Creditos!$C$11,"")</f>
        <v/>
      </c>
      <c r="D326" s="46" t="str">
        <f>IF(AND(Creditos!$C$11&lt;&gt;"",Creditos!$M$11="OK",21&lt;=Creditos!$H$11),21,"")</f>
        <v/>
      </c>
      <c r="E326" s="47" t="str">
        <f>IF(AND(Creditos!$C$11&lt;&gt;"",Creditos!$M$11="OK",21&lt;=Creditos!$H$11),EDATE(Creditos!$I$11,20),"")</f>
        <v/>
      </c>
      <c r="F326" s="48" t="str">
        <f>IF(AND(Creditos!$C$11&lt;&gt;"",Creditos!$M$11="OK",21&lt;=Creditos!$H$11),M325,"")</f>
        <v/>
      </c>
      <c r="G326" s="49" t="str">
        <f>IF(AND(Creditos!$C$11&lt;&gt;"",Creditos!$M$11="OK",21&lt;=Creditos!$H$11),Creditos!$N$11,"")</f>
        <v/>
      </c>
      <c r="H326" s="48" t="str">
        <f>IF(AND(Creditos!$C$11&lt;&gt;"",Creditos!$M$11="OK",21&lt;=Creditos!$H$11),ROUND(F326*G326,2),"")</f>
        <v/>
      </c>
      <c r="I326" s="48" t="str">
        <f>IF(AND(Creditos!$C$11&lt;&gt;"",Creditos!$M$11="OK",21&lt;=Creditos!$H$11),IF(21=Creditos!$H$11,F326+H326,MIN(Creditos!$O$11,F326+H326)),"")</f>
        <v/>
      </c>
      <c r="J326" s="48" t="str">
        <f>IF(AND(Creditos!$C$11&lt;&gt;"",Creditos!$M$11="OK",21&lt;=Creditos!$H$11),MIN(F326,MAX(0,I326-H326)),"")</f>
        <v/>
      </c>
      <c r="K326" s="48" t="str">
        <f>IF(AND(Creditos!$C$11&lt;&gt;"",Creditos!$M$11="OK",21&lt;=Creditos!$H$11),Creditos!$J$11+Creditos!$K$11,"")</f>
        <v/>
      </c>
      <c r="L326" s="48" t="str">
        <f>IF(AND(Creditos!$C$11&lt;&gt;"",Creditos!$M$11="OK",21&lt;=Creditos!$H$11),I326+K326,"")</f>
        <v/>
      </c>
      <c r="M326" s="48" t="str">
        <f>IF(AND(Creditos!$C$11&lt;&gt;"",Creditos!$M$11="OK",21&lt;=Creditos!$H$11),MAX(0,F326-J326),"")</f>
        <v/>
      </c>
      <c r="N326" s="48" t="str">
        <f>IF(AND(Creditos!$C$11&lt;&gt;"",Creditos!$M$11="OK",21&lt;=Creditos!$H$11),SUMIFS(Pagos!$F$6:$F$305,Pagos!$C$6:$C$305,C326,Pagos!$D$6:$D$305,D326,Pagos!$E$6:$E$305,"&lt;="&amp;Supuestos!$D$6,Pagos!$H$6:$H$305,"OK"),"")</f>
        <v/>
      </c>
      <c r="O326" s="48" t="str">
        <f>IF(AND(Creditos!$C$11&lt;&gt;"",Creditos!$M$11="OK",21&lt;=Creditos!$H$11),MIN(J326,MAX(0,N326-K326-H326)),"")</f>
        <v/>
      </c>
      <c r="P326" s="48" t="str">
        <f>IF(AND(Creditos!$C$11&lt;&gt;"",Creditos!$M$11="OK",21&lt;=Creditos!$H$11),MAX(0,L326-N326),"")</f>
        <v/>
      </c>
      <c r="Q326" s="50" t="str">
        <f>IF(AND(Creditos!$C$11&lt;&gt;"",Creditos!$M$11="OK",21&lt;=Creditos!$H$11),IF(AND(E326&lt;Supuestos!$D$6,P326&gt;0.005),Supuestos!$D$6-E326,0),"")</f>
        <v/>
      </c>
      <c r="R326" s="48" t="str">
        <f>IF(AND(Creditos!$C$11&lt;&gt;"",Creditos!$M$11="OK",21&lt;=Creditos!$H$11),MAX(0,N326-L326),"")</f>
        <v/>
      </c>
      <c r="S326" s="46" t="str">
        <f>IF(AND(Creditos!$C$11&lt;&gt;"",Creditos!$M$11="OK",21&lt;=Creditos!$H$11),IF(R326&gt;0.005,"Exceso sin imputar",IF(P326&lt;=0.005,"Pagada",IF(E326&lt;Supuestos!$D$6,"Vencida",IF(E326=Supuestos!$D$6,"Vence hoy","Por vencer")))),"")</f>
        <v/>
      </c>
      <c r="T326" s="46">
        <f>IF(AND(Creditos!$C$11&lt;&gt;"",Creditos!$M$11="OK",21&lt;=Creditos!$H$11),IF(P326&gt;0.005,E326,999999),999999)</f>
        <v>999999</v>
      </c>
    </row>
    <row r="327" ht="25.5" customHeight="1">
      <c r="C327" s="46" t="str">
        <f>IF(AND(Creditos!$C$11&lt;&gt;"",Creditos!$M$11="OK",22&lt;=Creditos!$H$11),Creditos!$C$11,"")</f>
        <v/>
      </c>
      <c r="D327" s="46" t="str">
        <f>IF(AND(Creditos!$C$11&lt;&gt;"",Creditos!$M$11="OK",22&lt;=Creditos!$H$11),22,"")</f>
        <v/>
      </c>
      <c r="E327" s="47" t="str">
        <f>IF(AND(Creditos!$C$11&lt;&gt;"",Creditos!$M$11="OK",22&lt;=Creditos!$H$11),EDATE(Creditos!$I$11,21),"")</f>
        <v/>
      </c>
      <c r="F327" s="48" t="str">
        <f>IF(AND(Creditos!$C$11&lt;&gt;"",Creditos!$M$11="OK",22&lt;=Creditos!$H$11),M326,"")</f>
        <v/>
      </c>
      <c r="G327" s="49" t="str">
        <f>IF(AND(Creditos!$C$11&lt;&gt;"",Creditos!$M$11="OK",22&lt;=Creditos!$H$11),Creditos!$N$11,"")</f>
        <v/>
      </c>
      <c r="H327" s="48" t="str">
        <f>IF(AND(Creditos!$C$11&lt;&gt;"",Creditos!$M$11="OK",22&lt;=Creditos!$H$11),ROUND(F327*G327,2),"")</f>
        <v/>
      </c>
      <c r="I327" s="48" t="str">
        <f>IF(AND(Creditos!$C$11&lt;&gt;"",Creditos!$M$11="OK",22&lt;=Creditos!$H$11),IF(22=Creditos!$H$11,F327+H327,MIN(Creditos!$O$11,F327+H327)),"")</f>
        <v/>
      </c>
      <c r="J327" s="48" t="str">
        <f>IF(AND(Creditos!$C$11&lt;&gt;"",Creditos!$M$11="OK",22&lt;=Creditos!$H$11),MIN(F327,MAX(0,I327-H327)),"")</f>
        <v/>
      </c>
      <c r="K327" s="48" t="str">
        <f>IF(AND(Creditos!$C$11&lt;&gt;"",Creditos!$M$11="OK",22&lt;=Creditos!$H$11),Creditos!$J$11+Creditos!$K$11,"")</f>
        <v/>
      </c>
      <c r="L327" s="48" t="str">
        <f>IF(AND(Creditos!$C$11&lt;&gt;"",Creditos!$M$11="OK",22&lt;=Creditos!$H$11),I327+K327,"")</f>
        <v/>
      </c>
      <c r="M327" s="48" t="str">
        <f>IF(AND(Creditos!$C$11&lt;&gt;"",Creditos!$M$11="OK",22&lt;=Creditos!$H$11),MAX(0,F327-J327),"")</f>
        <v/>
      </c>
      <c r="N327" s="48" t="str">
        <f>IF(AND(Creditos!$C$11&lt;&gt;"",Creditos!$M$11="OK",22&lt;=Creditos!$H$11),SUMIFS(Pagos!$F$6:$F$305,Pagos!$C$6:$C$305,C327,Pagos!$D$6:$D$305,D327,Pagos!$E$6:$E$305,"&lt;="&amp;Supuestos!$D$6,Pagos!$H$6:$H$305,"OK"),"")</f>
        <v/>
      </c>
      <c r="O327" s="48" t="str">
        <f>IF(AND(Creditos!$C$11&lt;&gt;"",Creditos!$M$11="OK",22&lt;=Creditos!$H$11),MIN(J327,MAX(0,N327-K327-H327)),"")</f>
        <v/>
      </c>
      <c r="P327" s="48" t="str">
        <f>IF(AND(Creditos!$C$11&lt;&gt;"",Creditos!$M$11="OK",22&lt;=Creditos!$H$11),MAX(0,L327-N327),"")</f>
        <v/>
      </c>
      <c r="Q327" s="50" t="str">
        <f>IF(AND(Creditos!$C$11&lt;&gt;"",Creditos!$M$11="OK",22&lt;=Creditos!$H$11),IF(AND(E327&lt;Supuestos!$D$6,P327&gt;0.005),Supuestos!$D$6-E327,0),"")</f>
        <v/>
      </c>
      <c r="R327" s="48" t="str">
        <f>IF(AND(Creditos!$C$11&lt;&gt;"",Creditos!$M$11="OK",22&lt;=Creditos!$H$11),MAX(0,N327-L327),"")</f>
        <v/>
      </c>
      <c r="S327" s="46" t="str">
        <f>IF(AND(Creditos!$C$11&lt;&gt;"",Creditos!$M$11="OK",22&lt;=Creditos!$H$11),IF(R327&gt;0.005,"Exceso sin imputar",IF(P327&lt;=0.005,"Pagada",IF(E327&lt;Supuestos!$D$6,"Vencida",IF(E327=Supuestos!$D$6,"Vence hoy","Por vencer")))),"")</f>
        <v/>
      </c>
      <c r="T327" s="46">
        <f>IF(AND(Creditos!$C$11&lt;&gt;"",Creditos!$M$11="OK",22&lt;=Creditos!$H$11),IF(P327&gt;0.005,E327,999999),999999)</f>
        <v>999999</v>
      </c>
    </row>
    <row r="328" ht="25.5" customHeight="1">
      <c r="C328" s="46" t="str">
        <f>IF(AND(Creditos!$C$11&lt;&gt;"",Creditos!$M$11="OK",23&lt;=Creditos!$H$11),Creditos!$C$11,"")</f>
        <v/>
      </c>
      <c r="D328" s="46" t="str">
        <f>IF(AND(Creditos!$C$11&lt;&gt;"",Creditos!$M$11="OK",23&lt;=Creditos!$H$11),23,"")</f>
        <v/>
      </c>
      <c r="E328" s="47" t="str">
        <f>IF(AND(Creditos!$C$11&lt;&gt;"",Creditos!$M$11="OK",23&lt;=Creditos!$H$11),EDATE(Creditos!$I$11,22),"")</f>
        <v/>
      </c>
      <c r="F328" s="48" t="str">
        <f>IF(AND(Creditos!$C$11&lt;&gt;"",Creditos!$M$11="OK",23&lt;=Creditos!$H$11),M327,"")</f>
        <v/>
      </c>
      <c r="G328" s="49" t="str">
        <f>IF(AND(Creditos!$C$11&lt;&gt;"",Creditos!$M$11="OK",23&lt;=Creditos!$H$11),Creditos!$N$11,"")</f>
        <v/>
      </c>
      <c r="H328" s="48" t="str">
        <f>IF(AND(Creditos!$C$11&lt;&gt;"",Creditos!$M$11="OK",23&lt;=Creditos!$H$11),ROUND(F328*G328,2),"")</f>
        <v/>
      </c>
      <c r="I328" s="48" t="str">
        <f>IF(AND(Creditos!$C$11&lt;&gt;"",Creditos!$M$11="OK",23&lt;=Creditos!$H$11),IF(23=Creditos!$H$11,F328+H328,MIN(Creditos!$O$11,F328+H328)),"")</f>
        <v/>
      </c>
      <c r="J328" s="48" t="str">
        <f>IF(AND(Creditos!$C$11&lt;&gt;"",Creditos!$M$11="OK",23&lt;=Creditos!$H$11),MIN(F328,MAX(0,I328-H328)),"")</f>
        <v/>
      </c>
      <c r="K328" s="48" t="str">
        <f>IF(AND(Creditos!$C$11&lt;&gt;"",Creditos!$M$11="OK",23&lt;=Creditos!$H$11),Creditos!$J$11+Creditos!$K$11,"")</f>
        <v/>
      </c>
      <c r="L328" s="48" t="str">
        <f>IF(AND(Creditos!$C$11&lt;&gt;"",Creditos!$M$11="OK",23&lt;=Creditos!$H$11),I328+K328,"")</f>
        <v/>
      </c>
      <c r="M328" s="48" t="str">
        <f>IF(AND(Creditos!$C$11&lt;&gt;"",Creditos!$M$11="OK",23&lt;=Creditos!$H$11),MAX(0,F328-J328),"")</f>
        <v/>
      </c>
      <c r="N328" s="48" t="str">
        <f>IF(AND(Creditos!$C$11&lt;&gt;"",Creditos!$M$11="OK",23&lt;=Creditos!$H$11),SUMIFS(Pagos!$F$6:$F$305,Pagos!$C$6:$C$305,C328,Pagos!$D$6:$D$305,D328,Pagos!$E$6:$E$305,"&lt;="&amp;Supuestos!$D$6,Pagos!$H$6:$H$305,"OK"),"")</f>
        <v/>
      </c>
      <c r="O328" s="48" t="str">
        <f>IF(AND(Creditos!$C$11&lt;&gt;"",Creditos!$M$11="OK",23&lt;=Creditos!$H$11),MIN(J328,MAX(0,N328-K328-H328)),"")</f>
        <v/>
      </c>
      <c r="P328" s="48" t="str">
        <f>IF(AND(Creditos!$C$11&lt;&gt;"",Creditos!$M$11="OK",23&lt;=Creditos!$H$11),MAX(0,L328-N328),"")</f>
        <v/>
      </c>
      <c r="Q328" s="50" t="str">
        <f>IF(AND(Creditos!$C$11&lt;&gt;"",Creditos!$M$11="OK",23&lt;=Creditos!$H$11),IF(AND(E328&lt;Supuestos!$D$6,P328&gt;0.005),Supuestos!$D$6-E328,0),"")</f>
        <v/>
      </c>
      <c r="R328" s="48" t="str">
        <f>IF(AND(Creditos!$C$11&lt;&gt;"",Creditos!$M$11="OK",23&lt;=Creditos!$H$11),MAX(0,N328-L328),"")</f>
        <v/>
      </c>
      <c r="S328" s="46" t="str">
        <f>IF(AND(Creditos!$C$11&lt;&gt;"",Creditos!$M$11="OK",23&lt;=Creditos!$H$11),IF(R328&gt;0.005,"Exceso sin imputar",IF(P328&lt;=0.005,"Pagada",IF(E328&lt;Supuestos!$D$6,"Vencida",IF(E328=Supuestos!$D$6,"Vence hoy","Por vencer")))),"")</f>
        <v/>
      </c>
      <c r="T328" s="46">
        <f>IF(AND(Creditos!$C$11&lt;&gt;"",Creditos!$M$11="OK",23&lt;=Creditos!$H$11),IF(P328&gt;0.005,E328,999999),999999)</f>
        <v>999999</v>
      </c>
    </row>
    <row r="329" ht="25.5" customHeight="1">
      <c r="C329" s="46" t="str">
        <f>IF(AND(Creditos!$C$11&lt;&gt;"",Creditos!$M$11="OK",24&lt;=Creditos!$H$11),Creditos!$C$11,"")</f>
        <v/>
      </c>
      <c r="D329" s="46" t="str">
        <f>IF(AND(Creditos!$C$11&lt;&gt;"",Creditos!$M$11="OK",24&lt;=Creditos!$H$11),24,"")</f>
        <v/>
      </c>
      <c r="E329" s="47" t="str">
        <f>IF(AND(Creditos!$C$11&lt;&gt;"",Creditos!$M$11="OK",24&lt;=Creditos!$H$11),EDATE(Creditos!$I$11,23),"")</f>
        <v/>
      </c>
      <c r="F329" s="48" t="str">
        <f>IF(AND(Creditos!$C$11&lt;&gt;"",Creditos!$M$11="OK",24&lt;=Creditos!$H$11),M328,"")</f>
        <v/>
      </c>
      <c r="G329" s="49" t="str">
        <f>IF(AND(Creditos!$C$11&lt;&gt;"",Creditos!$M$11="OK",24&lt;=Creditos!$H$11),Creditos!$N$11,"")</f>
        <v/>
      </c>
      <c r="H329" s="48" t="str">
        <f>IF(AND(Creditos!$C$11&lt;&gt;"",Creditos!$M$11="OK",24&lt;=Creditos!$H$11),ROUND(F329*G329,2),"")</f>
        <v/>
      </c>
      <c r="I329" s="48" t="str">
        <f>IF(AND(Creditos!$C$11&lt;&gt;"",Creditos!$M$11="OK",24&lt;=Creditos!$H$11),IF(24=Creditos!$H$11,F329+H329,MIN(Creditos!$O$11,F329+H329)),"")</f>
        <v/>
      </c>
      <c r="J329" s="48" t="str">
        <f>IF(AND(Creditos!$C$11&lt;&gt;"",Creditos!$M$11="OK",24&lt;=Creditos!$H$11),MIN(F329,MAX(0,I329-H329)),"")</f>
        <v/>
      </c>
      <c r="K329" s="48" t="str">
        <f>IF(AND(Creditos!$C$11&lt;&gt;"",Creditos!$M$11="OK",24&lt;=Creditos!$H$11),Creditos!$J$11+Creditos!$K$11,"")</f>
        <v/>
      </c>
      <c r="L329" s="48" t="str">
        <f>IF(AND(Creditos!$C$11&lt;&gt;"",Creditos!$M$11="OK",24&lt;=Creditos!$H$11),I329+K329,"")</f>
        <v/>
      </c>
      <c r="M329" s="48" t="str">
        <f>IF(AND(Creditos!$C$11&lt;&gt;"",Creditos!$M$11="OK",24&lt;=Creditos!$H$11),MAX(0,F329-J329),"")</f>
        <v/>
      </c>
      <c r="N329" s="48" t="str">
        <f>IF(AND(Creditos!$C$11&lt;&gt;"",Creditos!$M$11="OK",24&lt;=Creditos!$H$11),SUMIFS(Pagos!$F$6:$F$305,Pagos!$C$6:$C$305,C329,Pagos!$D$6:$D$305,D329,Pagos!$E$6:$E$305,"&lt;="&amp;Supuestos!$D$6,Pagos!$H$6:$H$305,"OK"),"")</f>
        <v/>
      </c>
      <c r="O329" s="48" t="str">
        <f>IF(AND(Creditos!$C$11&lt;&gt;"",Creditos!$M$11="OK",24&lt;=Creditos!$H$11),MIN(J329,MAX(0,N329-K329-H329)),"")</f>
        <v/>
      </c>
      <c r="P329" s="48" t="str">
        <f>IF(AND(Creditos!$C$11&lt;&gt;"",Creditos!$M$11="OK",24&lt;=Creditos!$H$11),MAX(0,L329-N329),"")</f>
        <v/>
      </c>
      <c r="Q329" s="50" t="str">
        <f>IF(AND(Creditos!$C$11&lt;&gt;"",Creditos!$M$11="OK",24&lt;=Creditos!$H$11),IF(AND(E329&lt;Supuestos!$D$6,P329&gt;0.005),Supuestos!$D$6-E329,0),"")</f>
        <v/>
      </c>
      <c r="R329" s="48" t="str">
        <f>IF(AND(Creditos!$C$11&lt;&gt;"",Creditos!$M$11="OK",24&lt;=Creditos!$H$11),MAX(0,N329-L329),"")</f>
        <v/>
      </c>
      <c r="S329" s="46" t="str">
        <f>IF(AND(Creditos!$C$11&lt;&gt;"",Creditos!$M$11="OK",24&lt;=Creditos!$H$11),IF(R329&gt;0.005,"Exceso sin imputar",IF(P329&lt;=0.005,"Pagada",IF(E329&lt;Supuestos!$D$6,"Vencida",IF(E329=Supuestos!$D$6,"Vence hoy","Por vencer")))),"")</f>
        <v/>
      </c>
      <c r="T329" s="46">
        <f>IF(AND(Creditos!$C$11&lt;&gt;"",Creditos!$M$11="OK",24&lt;=Creditos!$H$11),IF(P329&gt;0.005,E329,999999),999999)</f>
        <v>999999</v>
      </c>
    </row>
    <row r="330" ht="25.5" customHeight="1">
      <c r="C330" s="46" t="str">
        <f>IF(AND(Creditos!$C$11&lt;&gt;"",Creditos!$M$11="OK",25&lt;=Creditos!$H$11),Creditos!$C$11,"")</f>
        <v/>
      </c>
      <c r="D330" s="46" t="str">
        <f>IF(AND(Creditos!$C$11&lt;&gt;"",Creditos!$M$11="OK",25&lt;=Creditos!$H$11),25,"")</f>
        <v/>
      </c>
      <c r="E330" s="47" t="str">
        <f>IF(AND(Creditos!$C$11&lt;&gt;"",Creditos!$M$11="OK",25&lt;=Creditos!$H$11),EDATE(Creditos!$I$11,24),"")</f>
        <v/>
      </c>
      <c r="F330" s="48" t="str">
        <f>IF(AND(Creditos!$C$11&lt;&gt;"",Creditos!$M$11="OK",25&lt;=Creditos!$H$11),M329,"")</f>
        <v/>
      </c>
      <c r="G330" s="49" t="str">
        <f>IF(AND(Creditos!$C$11&lt;&gt;"",Creditos!$M$11="OK",25&lt;=Creditos!$H$11),Creditos!$N$11,"")</f>
        <v/>
      </c>
      <c r="H330" s="48" t="str">
        <f>IF(AND(Creditos!$C$11&lt;&gt;"",Creditos!$M$11="OK",25&lt;=Creditos!$H$11),ROUND(F330*G330,2),"")</f>
        <v/>
      </c>
      <c r="I330" s="48" t="str">
        <f>IF(AND(Creditos!$C$11&lt;&gt;"",Creditos!$M$11="OK",25&lt;=Creditos!$H$11),IF(25=Creditos!$H$11,F330+H330,MIN(Creditos!$O$11,F330+H330)),"")</f>
        <v/>
      </c>
      <c r="J330" s="48" t="str">
        <f>IF(AND(Creditos!$C$11&lt;&gt;"",Creditos!$M$11="OK",25&lt;=Creditos!$H$11),MIN(F330,MAX(0,I330-H330)),"")</f>
        <v/>
      </c>
      <c r="K330" s="48" t="str">
        <f>IF(AND(Creditos!$C$11&lt;&gt;"",Creditos!$M$11="OK",25&lt;=Creditos!$H$11),Creditos!$J$11+Creditos!$K$11,"")</f>
        <v/>
      </c>
      <c r="L330" s="48" t="str">
        <f>IF(AND(Creditos!$C$11&lt;&gt;"",Creditos!$M$11="OK",25&lt;=Creditos!$H$11),I330+K330,"")</f>
        <v/>
      </c>
      <c r="M330" s="48" t="str">
        <f>IF(AND(Creditos!$C$11&lt;&gt;"",Creditos!$M$11="OK",25&lt;=Creditos!$H$11),MAX(0,F330-J330),"")</f>
        <v/>
      </c>
      <c r="N330" s="48" t="str">
        <f>IF(AND(Creditos!$C$11&lt;&gt;"",Creditos!$M$11="OK",25&lt;=Creditos!$H$11),SUMIFS(Pagos!$F$6:$F$305,Pagos!$C$6:$C$305,C330,Pagos!$D$6:$D$305,D330,Pagos!$E$6:$E$305,"&lt;="&amp;Supuestos!$D$6,Pagos!$H$6:$H$305,"OK"),"")</f>
        <v/>
      </c>
      <c r="O330" s="48" t="str">
        <f>IF(AND(Creditos!$C$11&lt;&gt;"",Creditos!$M$11="OK",25&lt;=Creditos!$H$11),MIN(J330,MAX(0,N330-K330-H330)),"")</f>
        <v/>
      </c>
      <c r="P330" s="48" t="str">
        <f>IF(AND(Creditos!$C$11&lt;&gt;"",Creditos!$M$11="OK",25&lt;=Creditos!$H$11),MAX(0,L330-N330),"")</f>
        <v/>
      </c>
      <c r="Q330" s="50" t="str">
        <f>IF(AND(Creditos!$C$11&lt;&gt;"",Creditos!$M$11="OK",25&lt;=Creditos!$H$11),IF(AND(E330&lt;Supuestos!$D$6,P330&gt;0.005),Supuestos!$D$6-E330,0),"")</f>
        <v/>
      </c>
      <c r="R330" s="48" t="str">
        <f>IF(AND(Creditos!$C$11&lt;&gt;"",Creditos!$M$11="OK",25&lt;=Creditos!$H$11),MAX(0,N330-L330),"")</f>
        <v/>
      </c>
      <c r="S330" s="46" t="str">
        <f>IF(AND(Creditos!$C$11&lt;&gt;"",Creditos!$M$11="OK",25&lt;=Creditos!$H$11),IF(R330&gt;0.005,"Exceso sin imputar",IF(P330&lt;=0.005,"Pagada",IF(E330&lt;Supuestos!$D$6,"Vencida",IF(E330=Supuestos!$D$6,"Vence hoy","Por vencer")))),"")</f>
        <v/>
      </c>
      <c r="T330" s="46">
        <f>IF(AND(Creditos!$C$11&lt;&gt;"",Creditos!$M$11="OK",25&lt;=Creditos!$H$11),IF(P330&gt;0.005,E330,999999),999999)</f>
        <v>999999</v>
      </c>
    </row>
    <row r="331" ht="25.5" customHeight="1">
      <c r="C331" s="46" t="str">
        <f>IF(AND(Creditos!$C$11&lt;&gt;"",Creditos!$M$11="OK",26&lt;=Creditos!$H$11),Creditos!$C$11,"")</f>
        <v/>
      </c>
      <c r="D331" s="46" t="str">
        <f>IF(AND(Creditos!$C$11&lt;&gt;"",Creditos!$M$11="OK",26&lt;=Creditos!$H$11),26,"")</f>
        <v/>
      </c>
      <c r="E331" s="47" t="str">
        <f>IF(AND(Creditos!$C$11&lt;&gt;"",Creditos!$M$11="OK",26&lt;=Creditos!$H$11),EDATE(Creditos!$I$11,25),"")</f>
        <v/>
      </c>
      <c r="F331" s="48" t="str">
        <f>IF(AND(Creditos!$C$11&lt;&gt;"",Creditos!$M$11="OK",26&lt;=Creditos!$H$11),M330,"")</f>
        <v/>
      </c>
      <c r="G331" s="49" t="str">
        <f>IF(AND(Creditos!$C$11&lt;&gt;"",Creditos!$M$11="OK",26&lt;=Creditos!$H$11),Creditos!$N$11,"")</f>
        <v/>
      </c>
      <c r="H331" s="48" t="str">
        <f>IF(AND(Creditos!$C$11&lt;&gt;"",Creditos!$M$11="OK",26&lt;=Creditos!$H$11),ROUND(F331*G331,2),"")</f>
        <v/>
      </c>
      <c r="I331" s="48" t="str">
        <f>IF(AND(Creditos!$C$11&lt;&gt;"",Creditos!$M$11="OK",26&lt;=Creditos!$H$11),IF(26=Creditos!$H$11,F331+H331,MIN(Creditos!$O$11,F331+H331)),"")</f>
        <v/>
      </c>
      <c r="J331" s="48" t="str">
        <f>IF(AND(Creditos!$C$11&lt;&gt;"",Creditos!$M$11="OK",26&lt;=Creditos!$H$11),MIN(F331,MAX(0,I331-H331)),"")</f>
        <v/>
      </c>
      <c r="K331" s="48" t="str">
        <f>IF(AND(Creditos!$C$11&lt;&gt;"",Creditos!$M$11="OK",26&lt;=Creditos!$H$11),Creditos!$J$11+Creditos!$K$11,"")</f>
        <v/>
      </c>
      <c r="L331" s="48" t="str">
        <f>IF(AND(Creditos!$C$11&lt;&gt;"",Creditos!$M$11="OK",26&lt;=Creditos!$H$11),I331+K331,"")</f>
        <v/>
      </c>
      <c r="M331" s="48" t="str">
        <f>IF(AND(Creditos!$C$11&lt;&gt;"",Creditos!$M$11="OK",26&lt;=Creditos!$H$11),MAX(0,F331-J331),"")</f>
        <v/>
      </c>
      <c r="N331" s="48" t="str">
        <f>IF(AND(Creditos!$C$11&lt;&gt;"",Creditos!$M$11="OK",26&lt;=Creditos!$H$11),SUMIFS(Pagos!$F$6:$F$305,Pagos!$C$6:$C$305,C331,Pagos!$D$6:$D$305,D331,Pagos!$E$6:$E$305,"&lt;="&amp;Supuestos!$D$6,Pagos!$H$6:$H$305,"OK"),"")</f>
        <v/>
      </c>
      <c r="O331" s="48" t="str">
        <f>IF(AND(Creditos!$C$11&lt;&gt;"",Creditos!$M$11="OK",26&lt;=Creditos!$H$11),MIN(J331,MAX(0,N331-K331-H331)),"")</f>
        <v/>
      </c>
      <c r="P331" s="48" t="str">
        <f>IF(AND(Creditos!$C$11&lt;&gt;"",Creditos!$M$11="OK",26&lt;=Creditos!$H$11),MAX(0,L331-N331),"")</f>
        <v/>
      </c>
      <c r="Q331" s="50" t="str">
        <f>IF(AND(Creditos!$C$11&lt;&gt;"",Creditos!$M$11="OK",26&lt;=Creditos!$H$11),IF(AND(E331&lt;Supuestos!$D$6,P331&gt;0.005),Supuestos!$D$6-E331,0),"")</f>
        <v/>
      </c>
      <c r="R331" s="48" t="str">
        <f>IF(AND(Creditos!$C$11&lt;&gt;"",Creditos!$M$11="OK",26&lt;=Creditos!$H$11),MAX(0,N331-L331),"")</f>
        <v/>
      </c>
      <c r="S331" s="46" t="str">
        <f>IF(AND(Creditos!$C$11&lt;&gt;"",Creditos!$M$11="OK",26&lt;=Creditos!$H$11),IF(R331&gt;0.005,"Exceso sin imputar",IF(P331&lt;=0.005,"Pagada",IF(E331&lt;Supuestos!$D$6,"Vencida",IF(E331=Supuestos!$D$6,"Vence hoy","Por vencer")))),"")</f>
        <v/>
      </c>
      <c r="T331" s="46">
        <f>IF(AND(Creditos!$C$11&lt;&gt;"",Creditos!$M$11="OK",26&lt;=Creditos!$H$11),IF(P331&gt;0.005,E331,999999),999999)</f>
        <v>999999</v>
      </c>
    </row>
    <row r="332" ht="25.5" customHeight="1">
      <c r="C332" s="46" t="str">
        <f>IF(AND(Creditos!$C$11&lt;&gt;"",Creditos!$M$11="OK",27&lt;=Creditos!$H$11),Creditos!$C$11,"")</f>
        <v/>
      </c>
      <c r="D332" s="46" t="str">
        <f>IF(AND(Creditos!$C$11&lt;&gt;"",Creditos!$M$11="OK",27&lt;=Creditos!$H$11),27,"")</f>
        <v/>
      </c>
      <c r="E332" s="47" t="str">
        <f>IF(AND(Creditos!$C$11&lt;&gt;"",Creditos!$M$11="OK",27&lt;=Creditos!$H$11),EDATE(Creditos!$I$11,26),"")</f>
        <v/>
      </c>
      <c r="F332" s="48" t="str">
        <f>IF(AND(Creditos!$C$11&lt;&gt;"",Creditos!$M$11="OK",27&lt;=Creditos!$H$11),M331,"")</f>
        <v/>
      </c>
      <c r="G332" s="49" t="str">
        <f>IF(AND(Creditos!$C$11&lt;&gt;"",Creditos!$M$11="OK",27&lt;=Creditos!$H$11),Creditos!$N$11,"")</f>
        <v/>
      </c>
      <c r="H332" s="48" t="str">
        <f>IF(AND(Creditos!$C$11&lt;&gt;"",Creditos!$M$11="OK",27&lt;=Creditos!$H$11),ROUND(F332*G332,2),"")</f>
        <v/>
      </c>
      <c r="I332" s="48" t="str">
        <f>IF(AND(Creditos!$C$11&lt;&gt;"",Creditos!$M$11="OK",27&lt;=Creditos!$H$11),IF(27=Creditos!$H$11,F332+H332,MIN(Creditos!$O$11,F332+H332)),"")</f>
        <v/>
      </c>
      <c r="J332" s="48" t="str">
        <f>IF(AND(Creditos!$C$11&lt;&gt;"",Creditos!$M$11="OK",27&lt;=Creditos!$H$11),MIN(F332,MAX(0,I332-H332)),"")</f>
        <v/>
      </c>
      <c r="K332" s="48" t="str">
        <f>IF(AND(Creditos!$C$11&lt;&gt;"",Creditos!$M$11="OK",27&lt;=Creditos!$H$11),Creditos!$J$11+Creditos!$K$11,"")</f>
        <v/>
      </c>
      <c r="L332" s="48" t="str">
        <f>IF(AND(Creditos!$C$11&lt;&gt;"",Creditos!$M$11="OK",27&lt;=Creditos!$H$11),I332+K332,"")</f>
        <v/>
      </c>
      <c r="M332" s="48" t="str">
        <f>IF(AND(Creditos!$C$11&lt;&gt;"",Creditos!$M$11="OK",27&lt;=Creditos!$H$11),MAX(0,F332-J332),"")</f>
        <v/>
      </c>
      <c r="N332" s="48" t="str">
        <f>IF(AND(Creditos!$C$11&lt;&gt;"",Creditos!$M$11="OK",27&lt;=Creditos!$H$11),SUMIFS(Pagos!$F$6:$F$305,Pagos!$C$6:$C$305,C332,Pagos!$D$6:$D$305,D332,Pagos!$E$6:$E$305,"&lt;="&amp;Supuestos!$D$6,Pagos!$H$6:$H$305,"OK"),"")</f>
        <v/>
      </c>
      <c r="O332" s="48" t="str">
        <f>IF(AND(Creditos!$C$11&lt;&gt;"",Creditos!$M$11="OK",27&lt;=Creditos!$H$11),MIN(J332,MAX(0,N332-K332-H332)),"")</f>
        <v/>
      </c>
      <c r="P332" s="48" t="str">
        <f>IF(AND(Creditos!$C$11&lt;&gt;"",Creditos!$M$11="OK",27&lt;=Creditos!$H$11),MAX(0,L332-N332),"")</f>
        <v/>
      </c>
      <c r="Q332" s="50" t="str">
        <f>IF(AND(Creditos!$C$11&lt;&gt;"",Creditos!$M$11="OK",27&lt;=Creditos!$H$11),IF(AND(E332&lt;Supuestos!$D$6,P332&gt;0.005),Supuestos!$D$6-E332,0),"")</f>
        <v/>
      </c>
      <c r="R332" s="48" t="str">
        <f>IF(AND(Creditos!$C$11&lt;&gt;"",Creditos!$M$11="OK",27&lt;=Creditos!$H$11),MAX(0,N332-L332),"")</f>
        <v/>
      </c>
      <c r="S332" s="46" t="str">
        <f>IF(AND(Creditos!$C$11&lt;&gt;"",Creditos!$M$11="OK",27&lt;=Creditos!$H$11),IF(R332&gt;0.005,"Exceso sin imputar",IF(P332&lt;=0.005,"Pagada",IF(E332&lt;Supuestos!$D$6,"Vencida",IF(E332=Supuestos!$D$6,"Vence hoy","Por vencer")))),"")</f>
        <v/>
      </c>
      <c r="T332" s="46">
        <f>IF(AND(Creditos!$C$11&lt;&gt;"",Creditos!$M$11="OK",27&lt;=Creditos!$H$11),IF(P332&gt;0.005,E332,999999),999999)</f>
        <v>999999</v>
      </c>
    </row>
    <row r="333" ht="25.5" customHeight="1">
      <c r="C333" s="46" t="str">
        <f>IF(AND(Creditos!$C$11&lt;&gt;"",Creditos!$M$11="OK",28&lt;=Creditos!$H$11),Creditos!$C$11,"")</f>
        <v/>
      </c>
      <c r="D333" s="46" t="str">
        <f>IF(AND(Creditos!$C$11&lt;&gt;"",Creditos!$M$11="OK",28&lt;=Creditos!$H$11),28,"")</f>
        <v/>
      </c>
      <c r="E333" s="47" t="str">
        <f>IF(AND(Creditos!$C$11&lt;&gt;"",Creditos!$M$11="OK",28&lt;=Creditos!$H$11),EDATE(Creditos!$I$11,27),"")</f>
        <v/>
      </c>
      <c r="F333" s="48" t="str">
        <f>IF(AND(Creditos!$C$11&lt;&gt;"",Creditos!$M$11="OK",28&lt;=Creditos!$H$11),M332,"")</f>
        <v/>
      </c>
      <c r="G333" s="49" t="str">
        <f>IF(AND(Creditos!$C$11&lt;&gt;"",Creditos!$M$11="OK",28&lt;=Creditos!$H$11),Creditos!$N$11,"")</f>
        <v/>
      </c>
      <c r="H333" s="48" t="str">
        <f>IF(AND(Creditos!$C$11&lt;&gt;"",Creditos!$M$11="OK",28&lt;=Creditos!$H$11),ROUND(F333*G333,2),"")</f>
        <v/>
      </c>
      <c r="I333" s="48" t="str">
        <f>IF(AND(Creditos!$C$11&lt;&gt;"",Creditos!$M$11="OK",28&lt;=Creditos!$H$11),IF(28=Creditos!$H$11,F333+H333,MIN(Creditos!$O$11,F333+H333)),"")</f>
        <v/>
      </c>
      <c r="J333" s="48" t="str">
        <f>IF(AND(Creditos!$C$11&lt;&gt;"",Creditos!$M$11="OK",28&lt;=Creditos!$H$11),MIN(F333,MAX(0,I333-H333)),"")</f>
        <v/>
      </c>
      <c r="K333" s="48" t="str">
        <f>IF(AND(Creditos!$C$11&lt;&gt;"",Creditos!$M$11="OK",28&lt;=Creditos!$H$11),Creditos!$J$11+Creditos!$K$11,"")</f>
        <v/>
      </c>
      <c r="L333" s="48" t="str">
        <f>IF(AND(Creditos!$C$11&lt;&gt;"",Creditos!$M$11="OK",28&lt;=Creditos!$H$11),I333+K333,"")</f>
        <v/>
      </c>
      <c r="M333" s="48" t="str">
        <f>IF(AND(Creditos!$C$11&lt;&gt;"",Creditos!$M$11="OK",28&lt;=Creditos!$H$11),MAX(0,F333-J333),"")</f>
        <v/>
      </c>
      <c r="N333" s="48" t="str">
        <f>IF(AND(Creditos!$C$11&lt;&gt;"",Creditos!$M$11="OK",28&lt;=Creditos!$H$11),SUMIFS(Pagos!$F$6:$F$305,Pagos!$C$6:$C$305,C333,Pagos!$D$6:$D$305,D333,Pagos!$E$6:$E$305,"&lt;="&amp;Supuestos!$D$6,Pagos!$H$6:$H$305,"OK"),"")</f>
        <v/>
      </c>
      <c r="O333" s="48" t="str">
        <f>IF(AND(Creditos!$C$11&lt;&gt;"",Creditos!$M$11="OK",28&lt;=Creditos!$H$11),MIN(J333,MAX(0,N333-K333-H333)),"")</f>
        <v/>
      </c>
      <c r="P333" s="48" t="str">
        <f>IF(AND(Creditos!$C$11&lt;&gt;"",Creditos!$M$11="OK",28&lt;=Creditos!$H$11),MAX(0,L333-N333),"")</f>
        <v/>
      </c>
      <c r="Q333" s="50" t="str">
        <f>IF(AND(Creditos!$C$11&lt;&gt;"",Creditos!$M$11="OK",28&lt;=Creditos!$H$11),IF(AND(E333&lt;Supuestos!$D$6,P333&gt;0.005),Supuestos!$D$6-E333,0),"")</f>
        <v/>
      </c>
      <c r="R333" s="48" t="str">
        <f>IF(AND(Creditos!$C$11&lt;&gt;"",Creditos!$M$11="OK",28&lt;=Creditos!$H$11),MAX(0,N333-L333),"")</f>
        <v/>
      </c>
      <c r="S333" s="46" t="str">
        <f>IF(AND(Creditos!$C$11&lt;&gt;"",Creditos!$M$11="OK",28&lt;=Creditos!$H$11),IF(R333&gt;0.005,"Exceso sin imputar",IF(P333&lt;=0.005,"Pagada",IF(E333&lt;Supuestos!$D$6,"Vencida",IF(E333=Supuestos!$D$6,"Vence hoy","Por vencer")))),"")</f>
        <v/>
      </c>
      <c r="T333" s="46">
        <f>IF(AND(Creditos!$C$11&lt;&gt;"",Creditos!$M$11="OK",28&lt;=Creditos!$H$11),IF(P333&gt;0.005,E333,999999),999999)</f>
        <v>999999</v>
      </c>
    </row>
    <row r="334" ht="25.5" customHeight="1">
      <c r="C334" s="46" t="str">
        <f>IF(AND(Creditos!$C$11&lt;&gt;"",Creditos!$M$11="OK",29&lt;=Creditos!$H$11),Creditos!$C$11,"")</f>
        <v/>
      </c>
      <c r="D334" s="46" t="str">
        <f>IF(AND(Creditos!$C$11&lt;&gt;"",Creditos!$M$11="OK",29&lt;=Creditos!$H$11),29,"")</f>
        <v/>
      </c>
      <c r="E334" s="47" t="str">
        <f>IF(AND(Creditos!$C$11&lt;&gt;"",Creditos!$M$11="OK",29&lt;=Creditos!$H$11),EDATE(Creditos!$I$11,28),"")</f>
        <v/>
      </c>
      <c r="F334" s="48" t="str">
        <f>IF(AND(Creditos!$C$11&lt;&gt;"",Creditos!$M$11="OK",29&lt;=Creditos!$H$11),M333,"")</f>
        <v/>
      </c>
      <c r="G334" s="49" t="str">
        <f>IF(AND(Creditos!$C$11&lt;&gt;"",Creditos!$M$11="OK",29&lt;=Creditos!$H$11),Creditos!$N$11,"")</f>
        <v/>
      </c>
      <c r="H334" s="48" t="str">
        <f>IF(AND(Creditos!$C$11&lt;&gt;"",Creditos!$M$11="OK",29&lt;=Creditos!$H$11),ROUND(F334*G334,2),"")</f>
        <v/>
      </c>
      <c r="I334" s="48" t="str">
        <f>IF(AND(Creditos!$C$11&lt;&gt;"",Creditos!$M$11="OK",29&lt;=Creditos!$H$11),IF(29=Creditos!$H$11,F334+H334,MIN(Creditos!$O$11,F334+H334)),"")</f>
        <v/>
      </c>
      <c r="J334" s="48" t="str">
        <f>IF(AND(Creditos!$C$11&lt;&gt;"",Creditos!$M$11="OK",29&lt;=Creditos!$H$11),MIN(F334,MAX(0,I334-H334)),"")</f>
        <v/>
      </c>
      <c r="K334" s="48" t="str">
        <f>IF(AND(Creditos!$C$11&lt;&gt;"",Creditos!$M$11="OK",29&lt;=Creditos!$H$11),Creditos!$J$11+Creditos!$K$11,"")</f>
        <v/>
      </c>
      <c r="L334" s="48" t="str">
        <f>IF(AND(Creditos!$C$11&lt;&gt;"",Creditos!$M$11="OK",29&lt;=Creditos!$H$11),I334+K334,"")</f>
        <v/>
      </c>
      <c r="M334" s="48" t="str">
        <f>IF(AND(Creditos!$C$11&lt;&gt;"",Creditos!$M$11="OK",29&lt;=Creditos!$H$11),MAX(0,F334-J334),"")</f>
        <v/>
      </c>
      <c r="N334" s="48" t="str">
        <f>IF(AND(Creditos!$C$11&lt;&gt;"",Creditos!$M$11="OK",29&lt;=Creditos!$H$11),SUMIFS(Pagos!$F$6:$F$305,Pagos!$C$6:$C$305,C334,Pagos!$D$6:$D$305,D334,Pagos!$E$6:$E$305,"&lt;="&amp;Supuestos!$D$6,Pagos!$H$6:$H$305,"OK"),"")</f>
        <v/>
      </c>
      <c r="O334" s="48" t="str">
        <f>IF(AND(Creditos!$C$11&lt;&gt;"",Creditos!$M$11="OK",29&lt;=Creditos!$H$11),MIN(J334,MAX(0,N334-K334-H334)),"")</f>
        <v/>
      </c>
      <c r="P334" s="48" t="str">
        <f>IF(AND(Creditos!$C$11&lt;&gt;"",Creditos!$M$11="OK",29&lt;=Creditos!$H$11),MAX(0,L334-N334),"")</f>
        <v/>
      </c>
      <c r="Q334" s="50" t="str">
        <f>IF(AND(Creditos!$C$11&lt;&gt;"",Creditos!$M$11="OK",29&lt;=Creditos!$H$11),IF(AND(E334&lt;Supuestos!$D$6,P334&gt;0.005),Supuestos!$D$6-E334,0),"")</f>
        <v/>
      </c>
      <c r="R334" s="48" t="str">
        <f>IF(AND(Creditos!$C$11&lt;&gt;"",Creditos!$M$11="OK",29&lt;=Creditos!$H$11),MAX(0,N334-L334),"")</f>
        <v/>
      </c>
      <c r="S334" s="46" t="str">
        <f>IF(AND(Creditos!$C$11&lt;&gt;"",Creditos!$M$11="OK",29&lt;=Creditos!$H$11),IF(R334&gt;0.005,"Exceso sin imputar",IF(P334&lt;=0.005,"Pagada",IF(E334&lt;Supuestos!$D$6,"Vencida",IF(E334=Supuestos!$D$6,"Vence hoy","Por vencer")))),"")</f>
        <v/>
      </c>
      <c r="T334" s="46">
        <f>IF(AND(Creditos!$C$11&lt;&gt;"",Creditos!$M$11="OK",29&lt;=Creditos!$H$11),IF(P334&gt;0.005,E334,999999),999999)</f>
        <v>999999</v>
      </c>
    </row>
    <row r="335" ht="25.5" customHeight="1">
      <c r="C335" s="46" t="str">
        <f>IF(AND(Creditos!$C$11&lt;&gt;"",Creditos!$M$11="OK",30&lt;=Creditos!$H$11),Creditos!$C$11,"")</f>
        <v/>
      </c>
      <c r="D335" s="46" t="str">
        <f>IF(AND(Creditos!$C$11&lt;&gt;"",Creditos!$M$11="OK",30&lt;=Creditos!$H$11),30,"")</f>
        <v/>
      </c>
      <c r="E335" s="47" t="str">
        <f>IF(AND(Creditos!$C$11&lt;&gt;"",Creditos!$M$11="OK",30&lt;=Creditos!$H$11),EDATE(Creditos!$I$11,29),"")</f>
        <v/>
      </c>
      <c r="F335" s="48" t="str">
        <f>IF(AND(Creditos!$C$11&lt;&gt;"",Creditos!$M$11="OK",30&lt;=Creditos!$H$11),M334,"")</f>
        <v/>
      </c>
      <c r="G335" s="49" t="str">
        <f>IF(AND(Creditos!$C$11&lt;&gt;"",Creditos!$M$11="OK",30&lt;=Creditos!$H$11),Creditos!$N$11,"")</f>
        <v/>
      </c>
      <c r="H335" s="48" t="str">
        <f>IF(AND(Creditos!$C$11&lt;&gt;"",Creditos!$M$11="OK",30&lt;=Creditos!$H$11),ROUND(F335*G335,2),"")</f>
        <v/>
      </c>
      <c r="I335" s="48" t="str">
        <f>IF(AND(Creditos!$C$11&lt;&gt;"",Creditos!$M$11="OK",30&lt;=Creditos!$H$11),IF(30=Creditos!$H$11,F335+H335,MIN(Creditos!$O$11,F335+H335)),"")</f>
        <v/>
      </c>
      <c r="J335" s="48" t="str">
        <f>IF(AND(Creditos!$C$11&lt;&gt;"",Creditos!$M$11="OK",30&lt;=Creditos!$H$11),MIN(F335,MAX(0,I335-H335)),"")</f>
        <v/>
      </c>
      <c r="K335" s="48" t="str">
        <f>IF(AND(Creditos!$C$11&lt;&gt;"",Creditos!$M$11="OK",30&lt;=Creditos!$H$11),Creditos!$J$11+Creditos!$K$11,"")</f>
        <v/>
      </c>
      <c r="L335" s="48" t="str">
        <f>IF(AND(Creditos!$C$11&lt;&gt;"",Creditos!$M$11="OK",30&lt;=Creditos!$H$11),I335+K335,"")</f>
        <v/>
      </c>
      <c r="M335" s="48" t="str">
        <f>IF(AND(Creditos!$C$11&lt;&gt;"",Creditos!$M$11="OK",30&lt;=Creditos!$H$11),MAX(0,F335-J335),"")</f>
        <v/>
      </c>
      <c r="N335" s="48" t="str">
        <f>IF(AND(Creditos!$C$11&lt;&gt;"",Creditos!$M$11="OK",30&lt;=Creditos!$H$11),SUMIFS(Pagos!$F$6:$F$305,Pagos!$C$6:$C$305,C335,Pagos!$D$6:$D$305,D335,Pagos!$E$6:$E$305,"&lt;="&amp;Supuestos!$D$6,Pagos!$H$6:$H$305,"OK"),"")</f>
        <v/>
      </c>
      <c r="O335" s="48" t="str">
        <f>IF(AND(Creditos!$C$11&lt;&gt;"",Creditos!$M$11="OK",30&lt;=Creditos!$H$11),MIN(J335,MAX(0,N335-K335-H335)),"")</f>
        <v/>
      </c>
      <c r="P335" s="48" t="str">
        <f>IF(AND(Creditos!$C$11&lt;&gt;"",Creditos!$M$11="OK",30&lt;=Creditos!$H$11),MAX(0,L335-N335),"")</f>
        <v/>
      </c>
      <c r="Q335" s="50" t="str">
        <f>IF(AND(Creditos!$C$11&lt;&gt;"",Creditos!$M$11="OK",30&lt;=Creditos!$H$11),IF(AND(E335&lt;Supuestos!$D$6,P335&gt;0.005),Supuestos!$D$6-E335,0),"")</f>
        <v/>
      </c>
      <c r="R335" s="48" t="str">
        <f>IF(AND(Creditos!$C$11&lt;&gt;"",Creditos!$M$11="OK",30&lt;=Creditos!$H$11),MAX(0,N335-L335),"")</f>
        <v/>
      </c>
      <c r="S335" s="46" t="str">
        <f>IF(AND(Creditos!$C$11&lt;&gt;"",Creditos!$M$11="OK",30&lt;=Creditos!$H$11),IF(R335&gt;0.005,"Exceso sin imputar",IF(P335&lt;=0.005,"Pagada",IF(E335&lt;Supuestos!$D$6,"Vencida",IF(E335=Supuestos!$D$6,"Vence hoy","Por vencer")))),"")</f>
        <v/>
      </c>
      <c r="T335" s="46">
        <f>IF(AND(Creditos!$C$11&lt;&gt;"",Creditos!$M$11="OK",30&lt;=Creditos!$H$11),IF(P335&gt;0.005,E335,999999),999999)</f>
        <v>999999</v>
      </c>
    </row>
    <row r="336" ht="25.5" customHeight="1">
      <c r="C336" s="46" t="str">
        <f>IF(AND(Creditos!$C$11&lt;&gt;"",Creditos!$M$11="OK",31&lt;=Creditos!$H$11),Creditos!$C$11,"")</f>
        <v/>
      </c>
      <c r="D336" s="46" t="str">
        <f>IF(AND(Creditos!$C$11&lt;&gt;"",Creditos!$M$11="OK",31&lt;=Creditos!$H$11),31,"")</f>
        <v/>
      </c>
      <c r="E336" s="47" t="str">
        <f>IF(AND(Creditos!$C$11&lt;&gt;"",Creditos!$M$11="OK",31&lt;=Creditos!$H$11),EDATE(Creditos!$I$11,30),"")</f>
        <v/>
      </c>
      <c r="F336" s="48" t="str">
        <f>IF(AND(Creditos!$C$11&lt;&gt;"",Creditos!$M$11="OK",31&lt;=Creditos!$H$11),M335,"")</f>
        <v/>
      </c>
      <c r="G336" s="49" t="str">
        <f>IF(AND(Creditos!$C$11&lt;&gt;"",Creditos!$M$11="OK",31&lt;=Creditos!$H$11),Creditos!$N$11,"")</f>
        <v/>
      </c>
      <c r="H336" s="48" t="str">
        <f>IF(AND(Creditos!$C$11&lt;&gt;"",Creditos!$M$11="OK",31&lt;=Creditos!$H$11),ROUND(F336*G336,2),"")</f>
        <v/>
      </c>
      <c r="I336" s="48" t="str">
        <f>IF(AND(Creditos!$C$11&lt;&gt;"",Creditos!$M$11="OK",31&lt;=Creditos!$H$11),IF(31=Creditos!$H$11,F336+H336,MIN(Creditos!$O$11,F336+H336)),"")</f>
        <v/>
      </c>
      <c r="J336" s="48" t="str">
        <f>IF(AND(Creditos!$C$11&lt;&gt;"",Creditos!$M$11="OK",31&lt;=Creditos!$H$11),MIN(F336,MAX(0,I336-H336)),"")</f>
        <v/>
      </c>
      <c r="K336" s="48" t="str">
        <f>IF(AND(Creditos!$C$11&lt;&gt;"",Creditos!$M$11="OK",31&lt;=Creditos!$H$11),Creditos!$J$11+Creditos!$K$11,"")</f>
        <v/>
      </c>
      <c r="L336" s="48" t="str">
        <f>IF(AND(Creditos!$C$11&lt;&gt;"",Creditos!$M$11="OK",31&lt;=Creditos!$H$11),I336+K336,"")</f>
        <v/>
      </c>
      <c r="M336" s="48" t="str">
        <f>IF(AND(Creditos!$C$11&lt;&gt;"",Creditos!$M$11="OK",31&lt;=Creditos!$H$11),MAX(0,F336-J336),"")</f>
        <v/>
      </c>
      <c r="N336" s="48" t="str">
        <f>IF(AND(Creditos!$C$11&lt;&gt;"",Creditos!$M$11="OK",31&lt;=Creditos!$H$11),SUMIFS(Pagos!$F$6:$F$305,Pagos!$C$6:$C$305,C336,Pagos!$D$6:$D$305,D336,Pagos!$E$6:$E$305,"&lt;="&amp;Supuestos!$D$6,Pagos!$H$6:$H$305,"OK"),"")</f>
        <v/>
      </c>
      <c r="O336" s="48" t="str">
        <f>IF(AND(Creditos!$C$11&lt;&gt;"",Creditos!$M$11="OK",31&lt;=Creditos!$H$11),MIN(J336,MAX(0,N336-K336-H336)),"")</f>
        <v/>
      </c>
      <c r="P336" s="48" t="str">
        <f>IF(AND(Creditos!$C$11&lt;&gt;"",Creditos!$M$11="OK",31&lt;=Creditos!$H$11),MAX(0,L336-N336),"")</f>
        <v/>
      </c>
      <c r="Q336" s="50" t="str">
        <f>IF(AND(Creditos!$C$11&lt;&gt;"",Creditos!$M$11="OK",31&lt;=Creditos!$H$11),IF(AND(E336&lt;Supuestos!$D$6,P336&gt;0.005),Supuestos!$D$6-E336,0),"")</f>
        <v/>
      </c>
      <c r="R336" s="48" t="str">
        <f>IF(AND(Creditos!$C$11&lt;&gt;"",Creditos!$M$11="OK",31&lt;=Creditos!$H$11),MAX(0,N336-L336),"")</f>
        <v/>
      </c>
      <c r="S336" s="46" t="str">
        <f>IF(AND(Creditos!$C$11&lt;&gt;"",Creditos!$M$11="OK",31&lt;=Creditos!$H$11),IF(R336&gt;0.005,"Exceso sin imputar",IF(P336&lt;=0.005,"Pagada",IF(E336&lt;Supuestos!$D$6,"Vencida",IF(E336=Supuestos!$D$6,"Vence hoy","Por vencer")))),"")</f>
        <v/>
      </c>
      <c r="T336" s="46">
        <f>IF(AND(Creditos!$C$11&lt;&gt;"",Creditos!$M$11="OK",31&lt;=Creditos!$H$11),IF(P336&gt;0.005,E336,999999),999999)</f>
        <v>999999</v>
      </c>
    </row>
    <row r="337" ht="25.5" customHeight="1">
      <c r="C337" s="46" t="str">
        <f>IF(AND(Creditos!$C$11&lt;&gt;"",Creditos!$M$11="OK",32&lt;=Creditos!$H$11),Creditos!$C$11,"")</f>
        <v/>
      </c>
      <c r="D337" s="46" t="str">
        <f>IF(AND(Creditos!$C$11&lt;&gt;"",Creditos!$M$11="OK",32&lt;=Creditos!$H$11),32,"")</f>
        <v/>
      </c>
      <c r="E337" s="47" t="str">
        <f>IF(AND(Creditos!$C$11&lt;&gt;"",Creditos!$M$11="OK",32&lt;=Creditos!$H$11),EDATE(Creditos!$I$11,31),"")</f>
        <v/>
      </c>
      <c r="F337" s="48" t="str">
        <f>IF(AND(Creditos!$C$11&lt;&gt;"",Creditos!$M$11="OK",32&lt;=Creditos!$H$11),M336,"")</f>
        <v/>
      </c>
      <c r="G337" s="49" t="str">
        <f>IF(AND(Creditos!$C$11&lt;&gt;"",Creditos!$M$11="OK",32&lt;=Creditos!$H$11),Creditos!$N$11,"")</f>
        <v/>
      </c>
      <c r="H337" s="48" t="str">
        <f>IF(AND(Creditos!$C$11&lt;&gt;"",Creditos!$M$11="OK",32&lt;=Creditos!$H$11),ROUND(F337*G337,2),"")</f>
        <v/>
      </c>
      <c r="I337" s="48" t="str">
        <f>IF(AND(Creditos!$C$11&lt;&gt;"",Creditos!$M$11="OK",32&lt;=Creditos!$H$11),IF(32=Creditos!$H$11,F337+H337,MIN(Creditos!$O$11,F337+H337)),"")</f>
        <v/>
      </c>
      <c r="J337" s="48" t="str">
        <f>IF(AND(Creditos!$C$11&lt;&gt;"",Creditos!$M$11="OK",32&lt;=Creditos!$H$11),MIN(F337,MAX(0,I337-H337)),"")</f>
        <v/>
      </c>
      <c r="K337" s="48" t="str">
        <f>IF(AND(Creditos!$C$11&lt;&gt;"",Creditos!$M$11="OK",32&lt;=Creditos!$H$11),Creditos!$J$11+Creditos!$K$11,"")</f>
        <v/>
      </c>
      <c r="L337" s="48" t="str">
        <f>IF(AND(Creditos!$C$11&lt;&gt;"",Creditos!$M$11="OK",32&lt;=Creditos!$H$11),I337+K337,"")</f>
        <v/>
      </c>
      <c r="M337" s="48" t="str">
        <f>IF(AND(Creditos!$C$11&lt;&gt;"",Creditos!$M$11="OK",32&lt;=Creditos!$H$11),MAX(0,F337-J337),"")</f>
        <v/>
      </c>
      <c r="N337" s="48" t="str">
        <f>IF(AND(Creditos!$C$11&lt;&gt;"",Creditos!$M$11="OK",32&lt;=Creditos!$H$11),SUMIFS(Pagos!$F$6:$F$305,Pagos!$C$6:$C$305,C337,Pagos!$D$6:$D$305,D337,Pagos!$E$6:$E$305,"&lt;="&amp;Supuestos!$D$6,Pagos!$H$6:$H$305,"OK"),"")</f>
        <v/>
      </c>
      <c r="O337" s="48" t="str">
        <f>IF(AND(Creditos!$C$11&lt;&gt;"",Creditos!$M$11="OK",32&lt;=Creditos!$H$11),MIN(J337,MAX(0,N337-K337-H337)),"")</f>
        <v/>
      </c>
      <c r="P337" s="48" t="str">
        <f>IF(AND(Creditos!$C$11&lt;&gt;"",Creditos!$M$11="OK",32&lt;=Creditos!$H$11),MAX(0,L337-N337),"")</f>
        <v/>
      </c>
      <c r="Q337" s="50" t="str">
        <f>IF(AND(Creditos!$C$11&lt;&gt;"",Creditos!$M$11="OK",32&lt;=Creditos!$H$11),IF(AND(E337&lt;Supuestos!$D$6,P337&gt;0.005),Supuestos!$D$6-E337,0),"")</f>
        <v/>
      </c>
      <c r="R337" s="48" t="str">
        <f>IF(AND(Creditos!$C$11&lt;&gt;"",Creditos!$M$11="OK",32&lt;=Creditos!$H$11),MAX(0,N337-L337),"")</f>
        <v/>
      </c>
      <c r="S337" s="46" t="str">
        <f>IF(AND(Creditos!$C$11&lt;&gt;"",Creditos!$M$11="OK",32&lt;=Creditos!$H$11),IF(R337&gt;0.005,"Exceso sin imputar",IF(P337&lt;=0.005,"Pagada",IF(E337&lt;Supuestos!$D$6,"Vencida",IF(E337=Supuestos!$D$6,"Vence hoy","Por vencer")))),"")</f>
        <v/>
      </c>
      <c r="T337" s="46">
        <f>IF(AND(Creditos!$C$11&lt;&gt;"",Creditos!$M$11="OK",32&lt;=Creditos!$H$11),IF(P337&gt;0.005,E337,999999),999999)</f>
        <v>999999</v>
      </c>
    </row>
    <row r="338" ht="25.5" customHeight="1">
      <c r="C338" s="46" t="str">
        <f>IF(AND(Creditos!$C$11&lt;&gt;"",Creditos!$M$11="OK",33&lt;=Creditos!$H$11),Creditos!$C$11,"")</f>
        <v/>
      </c>
      <c r="D338" s="46" t="str">
        <f>IF(AND(Creditos!$C$11&lt;&gt;"",Creditos!$M$11="OK",33&lt;=Creditos!$H$11),33,"")</f>
        <v/>
      </c>
      <c r="E338" s="47" t="str">
        <f>IF(AND(Creditos!$C$11&lt;&gt;"",Creditos!$M$11="OK",33&lt;=Creditos!$H$11),EDATE(Creditos!$I$11,32),"")</f>
        <v/>
      </c>
      <c r="F338" s="48" t="str">
        <f>IF(AND(Creditos!$C$11&lt;&gt;"",Creditos!$M$11="OK",33&lt;=Creditos!$H$11),M337,"")</f>
        <v/>
      </c>
      <c r="G338" s="49" t="str">
        <f>IF(AND(Creditos!$C$11&lt;&gt;"",Creditos!$M$11="OK",33&lt;=Creditos!$H$11),Creditos!$N$11,"")</f>
        <v/>
      </c>
      <c r="H338" s="48" t="str">
        <f>IF(AND(Creditos!$C$11&lt;&gt;"",Creditos!$M$11="OK",33&lt;=Creditos!$H$11),ROUND(F338*G338,2),"")</f>
        <v/>
      </c>
      <c r="I338" s="48" t="str">
        <f>IF(AND(Creditos!$C$11&lt;&gt;"",Creditos!$M$11="OK",33&lt;=Creditos!$H$11),IF(33=Creditos!$H$11,F338+H338,MIN(Creditos!$O$11,F338+H338)),"")</f>
        <v/>
      </c>
      <c r="J338" s="48" t="str">
        <f>IF(AND(Creditos!$C$11&lt;&gt;"",Creditos!$M$11="OK",33&lt;=Creditos!$H$11),MIN(F338,MAX(0,I338-H338)),"")</f>
        <v/>
      </c>
      <c r="K338" s="48" t="str">
        <f>IF(AND(Creditos!$C$11&lt;&gt;"",Creditos!$M$11="OK",33&lt;=Creditos!$H$11),Creditos!$J$11+Creditos!$K$11,"")</f>
        <v/>
      </c>
      <c r="L338" s="48" t="str">
        <f>IF(AND(Creditos!$C$11&lt;&gt;"",Creditos!$M$11="OK",33&lt;=Creditos!$H$11),I338+K338,"")</f>
        <v/>
      </c>
      <c r="M338" s="48" t="str">
        <f>IF(AND(Creditos!$C$11&lt;&gt;"",Creditos!$M$11="OK",33&lt;=Creditos!$H$11),MAX(0,F338-J338),"")</f>
        <v/>
      </c>
      <c r="N338" s="48" t="str">
        <f>IF(AND(Creditos!$C$11&lt;&gt;"",Creditos!$M$11="OK",33&lt;=Creditos!$H$11),SUMIFS(Pagos!$F$6:$F$305,Pagos!$C$6:$C$305,C338,Pagos!$D$6:$D$305,D338,Pagos!$E$6:$E$305,"&lt;="&amp;Supuestos!$D$6,Pagos!$H$6:$H$305,"OK"),"")</f>
        <v/>
      </c>
      <c r="O338" s="48" t="str">
        <f>IF(AND(Creditos!$C$11&lt;&gt;"",Creditos!$M$11="OK",33&lt;=Creditos!$H$11),MIN(J338,MAX(0,N338-K338-H338)),"")</f>
        <v/>
      </c>
      <c r="P338" s="48" t="str">
        <f>IF(AND(Creditos!$C$11&lt;&gt;"",Creditos!$M$11="OK",33&lt;=Creditos!$H$11),MAX(0,L338-N338),"")</f>
        <v/>
      </c>
      <c r="Q338" s="50" t="str">
        <f>IF(AND(Creditos!$C$11&lt;&gt;"",Creditos!$M$11="OK",33&lt;=Creditos!$H$11),IF(AND(E338&lt;Supuestos!$D$6,P338&gt;0.005),Supuestos!$D$6-E338,0),"")</f>
        <v/>
      </c>
      <c r="R338" s="48" t="str">
        <f>IF(AND(Creditos!$C$11&lt;&gt;"",Creditos!$M$11="OK",33&lt;=Creditos!$H$11),MAX(0,N338-L338),"")</f>
        <v/>
      </c>
      <c r="S338" s="46" t="str">
        <f>IF(AND(Creditos!$C$11&lt;&gt;"",Creditos!$M$11="OK",33&lt;=Creditos!$H$11),IF(R338&gt;0.005,"Exceso sin imputar",IF(P338&lt;=0.005,"Pagada",IF(E338&lt;Supuestos!$D$6,"Vencida",IF(E338=Supuestos!$D$6,"Vence hoy","Por vencer")))),"")</f>
        <v/>
      </c>
      <c r="T338" s="46">
        <f>IF(AND(Creditos!$C$11&lt;&gt;"",Creditos!$M$11="OK",33&lt;=Creditos!$H$11),IF(P338&gt;0.005,E338,999999),999999)</f>
        <v>999999</v>
      </c>
    </row>
    <row r="339" ht="25.5" customHeight="1">
      <c r="C339" s="46" t="str">
        <f>IF(AND(Creditos!$C$11&lt;&gt;"",Creditos!$M$11="OK",34&lt;=Creditos!$H$11),Creditos!$C$11,"")</f>
        <v/>
      </c>
      <c r="D339" s="46" t="str">
        <f>IF(AND(Creditos!$C$11&lt;&gt;"",Creditos!$M$11="OK",34&lt;=Creditos!$H$11),34,"")</f>
        <v/>
      </c>
      <c r="E339" s="47" t="str">
        <f>IF(AND(Creditos!$C$11&lt;&gt;"",Creditos!$M$11="OK",34&lt;=Creditos!$H$11),EDATE(Creditos!$I$11,33),"")</f>
        <v/>
      </c>
      <c r="F339" s="48" t="str">
        <f>IF(AND(Creditos!$C$11&lt;&gt;"",Creditos!$M$11="OK",34&lt;=Creditos!$H$11),M338,"")</f>
        <v/>
      </c>
      <c r="G339" s="49" t="str">
        <f>IF(AND(Creditos!$C$11&lt;&gt;"",Creditos!$M$11="OK",34&lt;=Creditos!$H$11),Creditos!$N$11,"")</f>
        <v/>
      </c>
      <c r="H339" s="48" t="str">
        <f>IF(AND(Creditos!$C$11&lt;&gt;"",Creditos!$M$11="OK",34&lt;=Creditos!$H$11),ROUND(F339*G339,2),"")</f>
        <v/>
      </c>
      <c r="I339" s="48" t="str">
        <f>IF(AND(Creditos!$C$11&lt;&gt;"",Creditos!$M$11="OK",34&lt;=Creditos!$H$11),IF(34=Creditos!$H$11,F339+H339,MIN(Creditos!$O$11,F339+H339)),"")</f>
        <v/>
      </c>
      <c r="J339" s="48" t="str">
        <f>IF(AND(Creditos!$C$11&lt;&gt;"",Creditos!$M$11="OK",34&lt;=Creditos!$H$11),MIN(F339,MAX(0,I339-H339)),"")</f>
        <v/>
      </c>
      <c r="K339" s="48" t="str">
        <f>IF(AND(Creditos!$C$11&lt;&gt;"",Creditos!$M$11="OK",34&lt;=Creditos!$H$11),Creditos!$J$11+Creditos!$K$11,"")</f>
        <v/>
      </c>
      <c r="L339" s="48" t="str">
        <f>IF(AND(Creditos!$C$11&lt;&gt;"",Creditos!$M$11="OK",34&lt;=Creditos!$H$11),I339+K339,"")</f>
        <v/>
      </c>
      <c r="M339" s="48" t="str">
        <f>IF(AND(Creditos!$C$11&lt;&gt;"",Creditos!$M$11="OK",34&lt;=Creditos!$H$11),MAX(0,F339-J339),"")</f>
        <v/>
      </c>
      <c r="N339" s="48" t="str">
        <f>IF(AND(Creditos!$C$11&lt;&gt;"",Creditos!$M$11="OK",34&lt;=Creditos!$H$11),SUMIFS(Pagos!$F$6:$F$305,Pagos!$C$6:$C$305,C339,Pagos!$D$6:$D$305,D339,Pagos!$E$6:$E$305,"&lt;="&amp;Supuestos!$D$6,Pagos!$H$6:$H$305,"OK"),"")</f>
        <v/>
      </c>
      <c r="O339" s="48" t="str">
        <f>IF(AND(Creditos!$C$11&lt;&gt;"",Creditos!$M$11="OK",34&lt;=Creditos!$H$11),MIN(J339,MAX(0,N339-K339-H339)),"")</f>
        <v/>
      </c>
      <c r="P339" s="48" t="str">
        <f>IF(AND(Creditos!$C$11&lt;&gt;"",Creditos!$M$11="OK",34&lt;=Creditos!$H$11),MAX(0,L339-N339),"")</f>
        <v/>
      </c>
      <c r="Q339" s="50" t="str">
        <f>IF(AND(Creditos!$C$11&lt;&gt;"",Creditos!$M$11="OK",34&lt;=Creditos!$H$11),IF(AND(E339&lt;Supuestos!$D$6,P339&gt;0.005),Supuestos!$D$6-E339,0),"")</f>
        <v/>
      </c>
      <c r="R339" s="48" t="str">
        <f>IF(AND(Creditos!$C$11&lt;&gt;"",Creditos!$M$11="OK",34&lt;=Creditos!$H$11),MAX(0,N339-L339),"")</f>
        <v/>
      </c>
      <c r="S339" s="46" t="str">
        <f>IF(AND(Creditos!$C$11&lt;&gt;"",Creditos!$M$11="OK",34&lt;=Creditos!$H$11),IF(R339&gt;0.005,"Exceso sin imputar",IF(P339&lt;=0.005,"Pagada",IF(E339&lt;Supuestos!$D$6,"Vencida",IF(E339=Supuestos!$D$6,"Vence hoy","Por vencer")))),"")</f>
        <v/>
      </c>
      <c r="T339" s="46">
        <f>IF(AND(Creditos!$C$11&lt;&gt;"",Creditos!$M$11="OK",34&lt;=Creditos!$H$11),IF(P339&gt;0.005,E339,999999),999999)</f>
        <v>999999</v>
      </c>
    </row>
    <row r="340" ht="25.5" customHeight="1">
      <c r="C340" s="46" t="str">
        <f>IF(AND(Creditos!$C$11&lt;&gt;"",Creditos!$M$11="OK",35&lt;=Creditos!$H$11),Creditos!$C$11,"")</f>
        <v/>
      </c>
      <c r="D340" s="46" t="str">
        <f>IF(AND(Creditos!$C$11&lt;&gt;"",Creditos!$M$11="OK",35&lt;=Creditos!$H$11),35,"")</f>
        <v/>
      </c>
      <c r="E340" s="47" t="str">
        <f>IF(AND(Creditos!$C$11&lt;&gt;"",Creditos!$M$11="OK",35&lt;=Creditos!$H$11),EDATE(Creditos!$I$11,34),"")</f>
        <v/>
      </c>
      <c r="F340" s="48" t="str">
        <f>IF(AND(Creditos!$C$11&lt;&gt;"",Creditos!$M$11="OK",35&lt;=Creditos!$H$11),M339,"")</f>
        <v/>
      </c>
      <c r="G340" s="49" t="str">
        <f>IF(AND(Creditos!$C$11&lt;&gt;"",Creditos!$M$11="OK",35&lt;=Creditos!$H$11),Creditos!$N$11,"")</f>
        <v/>
      </c>
      <c r="H340" s="48" t="str">
        <f>IF(AND(Creditos!$C$11&lt;&gt;"",Creditos!$M$11="OK",35&lt;=Creditos!$H$11),ROUND(F340*G340,2),"")</f>
        <v/>
      </c>
      <c r="I340" s="48" t="str">
        <f>IF(AND(Creditos!$C$11&lt;&gt;"",Creditos!$M$11="OK",35&lt;=Creditos!$H$11),IF(35=Creditos!$H$11,F340+H340,MIN(Creditos!$O$11,F340+H340)),"")</f>
        <v/>
      </c>
      <c r="J340" s="48" t="str">
        <f>IF(AND(Creditos!$C$11&lt;&gt;"",Creditos!$M$11="OK",35&lt;=Creditos!$H$11),MIN(F340,MAX(0,I340-H340)),"")</f>
        <v/>
      </c>
      <c r="K340" s="48" t="str">
        <f>IF(AND(Creditos!$C$11&lt;&gt;"",Creditos!$M$11="OK",35&lt;=Creditos!$H$11),Creditos!$J$11+Creditos!$K$11,"")</f>
        <v/>
      </c>
      <c r="L340" s="48" t="str">
        <f>IF(AND(Creditos!$C$11&lt;&gt;"",Creditos!$M$11="OK",35&lt;=Creditos!$H$11),I340+K340,"")</f>
        <v/>
      </c>
      <c r="M340" s="48" t="str">
        <f>IF(AND(Creditos!$C$11&lt;&gt;"",Creditos!$M$11="OK",35&lt;=Creditos!$H$11),MAX(0,F340-J340),"")</f>
        <v/>
      </c>
      <c r="N340" s="48" t="str">
        <f>IF(AND(Creditos!$C$11&lt;&gt;"",Creditos!$M$11="OK",35&lt;=Creditos!$H$11),SUMIFS(Pagos!$F$6:$F$305,Pagos!$C$6:$C$305,C340,Pagos!$D$6:$D$305,D340,Pagos!$E$6:$E$305,"&lt;="&amp;Supuestos!$D$6,Pagos!$H$6:$H$305,"OK"),"")</f>
        <v/>
      </c>
      <c r="O340" s="48" t="str">
        <f>IF(AND(Creditos!$C$11&lt;&gt;"",Creditos!$M$11="OK",35&lt;=Creditos!$H$11),MIN(J340,MAX(0,N340-K340-H340)),"")</f>
        <v/>
      </c>
      <c r="P340" s="48" t="str">
        <f>IF(AND(Creditos!$C$11&lt;&gt;"",Creditos!$M$11="OK",35&lt;=Creditos!$H$11),MAX(0,L340-N340),"")</f>
        <v/>
      </c>
      <c r="Q340" s="50" t="str">
        <f>IF(AND(Creditos!$C$11&lt;&gt;"",Creditos!$M$11="OK",35&lt;=Creditos!$H$11),IF(AND(E340&lt;Supuestos!$D$6,P340&gt;0.005),Supuestos!$D$6-E340,0),"")</f>
        <v/>
      </c>
      <c r="R340" s="48" t="str">
        <f>IF(AND(Creditos!$C$11&lt;&gt;"",Creditos!$M$11="OK",35&lt;=Creditos!$H$11),MAX(0,N340-L340),"")</f>
        <v/>
      </c>
      <c r="S340" s="46" t="str">
        <f>IF(AND(Creditos!$C$11&lt;&gt;"",Creditos!$M$11="OK",35&lt;=Creditos!$H$11),IF(R340&gt;0.005,"Exceso sin imputar",IF(P340&lt;=0.005,"Pagada",IF(E340&lt;Supuestos!$D$6,"Vencida",IF(E340=Supuestos!$D$6,"Vence hoy","Por vencer")))),"")</f>
        <v/>
      </c>
      <c r="T340" s="46">
        <f>IF(AND(Creditos!$C$11&lt;&gt;"",Creditos!$M$11="OK",35&lt;=Creditos!$H$11),IF(P340&gt;0.005,E340,999999),999999)</f>
        <v>999999</v>
      </c>
    </row>
    <row r="341" ht="25.5" customHeight="1">
      <c r="C341" s="46" t="str">
        <f>IF(AND(Creditos!$C$11&lt;&gt;"",Creditos!$M$11="OK",36&lt;=Creditos!$H$11),Creditos!$C$11,"")</f>
        <v/>
      </c>
      <c r="D341" s="46" t="str">
        <f>IF(AND(Creditos!$C$11&lt;&gt;"",Creditos!$M$11="OK",36&lt;=Creditos!$H$11),36,"")</f>
        <v/>
      </c>
      <c r="E341" s="47" t="str">
        <f>IF(AND(Creditos!$C$11&lt;&gt;"",Creditos!$M$11="OK",36&lt;=Creditos!$H$11),EDATE(Creditos!$I$11,35),"")</f>
        <v/>
      </c>
      <c r="F341" s="48" t="str">
        <f>IF(AND(Creditos!$C$11&lt;&gt;"",Creditos!$M$11="OK",36&lt;=Creditos!$H$11),M340,"")</f>
        <v/>
      </c>
      <c r="G341" s="49" t="str">
        <f>IF(AND(Creditos!$C$11&lt;&gt;"",Creditos!$M$11="OK",36&lt;=Creditos!$H$11),Creditos!$N$11,"")</f>
        <v/>
      </c>
      <c r="H341" s="48" t="str">
        <f>IF(AND(Creditos!$C$11&lt;&gt;"",Creditos!$M$11="OK",36&lt;=Creditos!$H$11),ROUND(F341*G341,2),"")</f>
        <v/>
      </c>
      <c r="I341" s="48" t="str">
        <f>IF(AND(Creditos!$C$11&lt;&gt;"",Creditos!$M$11="OK",36&lt;=Creditos!$H$11),IF(36=Creditos!$H$11,F341+H341,MIN(Creditos!$O$11,F341+H341)),"")</f>
        <v/>
      </c>
      <c r="J341" s="48" t="str">
        <f>IF(AND(Creditos!$C$11&lt;&gt;"",Creditos!$M$11="OK",36&lt;=Creditos!$H$11),MIN(F341,MAX(0,I341-H341)),"")</f>
        <v/>
      </c>
      <c r="K341" s="48" t="str">
        <f>IF(AND(Creditos!$C$11&lt;&gt;"",Creditos!$M$11="OK",36&lt;=Creditos!$H$11),Creditos!$J$11+Creditos!$K$11,"")</f>
        <v/>
      </c>
      <c r="L341" s="48" t="str">
        <f>IF(AND(Creditos!$C$11&lt;&gt;"",Creditos!$M$11="OK",36&lt;=Creditos!$H$11),I341+K341,"")</f>
        <v/>
      </c>
      <c r="M341" s="48" t="str">
        <f>IF(AND(Creditos!$C$11&lt;&gt;"",Creditos!$M$11="OK",36&lt;=Creditos!$H$11),MAX(0,F341-J341),"")</f>
        <v/>
      </c>
      <c r="N341" s="48" t="str">
        <f>IF(AND(Creditos!$C$11&lt;&gt;"",Creditos!$M$11="OK",36&lt;=Creditos!$H$11),SUMIFS(Pagos!$F$6:$F$305,Pagos!$C$6:$C$305,C341,Pagos!$D$6:$D$305,D341,Pagos!$E$6:$E$305,"&lt;="&amp;Supuestos!$D$6,Pagos!$H$6:$H$305,"OK"),"")</f>
        <v/>
      </c>
      <c r="O341" s="48" t="str">
        <f>IF(AND(Creditos!$C$11&lt;&gt;"",Creditos!$M$11="OK",36&lt;=Creditos!$H$11),MIN(J341,MAX(0,N341-K341-H341)),"")</f>
        <v/>
      </c>
      <c r="P341" s="48" t="str">
        <f>IF(AND(Creditos!$C$11&lt;&gt;"",Creditos!$M$11="OK",36&lt;=Creditos!$H$11),MAX(0,L341-N341),"")</f>
        <v/>
      </c>
      <c r="Q341" s="50" t="str">
        <f>IF(AND(Creditos!$C$11&lt;&gt;"",Creditos!$M$11="OK",36&lt;=Creditos!$H$11),IF(AND(E341&lt;Supuestos!$D$6,P341&gt;0.005),Supuestos!$D$6-E341,0),"")</f>
        <v/>
      </c>
      <c r="R341" s="48" t="str">
        <f>IF(AND(Creditos!$C$11&lt;&gt;"",Creditos!$M$11="OK",36&lt;=Creditos!$H$11),MAX(0,N341-L341),"")</f>
        <v/>
      </c>
      <c r="S341" s="46" t="str">
        <f>IF(AND(Creditos!$C$11&lt;&gt;"",Creditos!$M$11="OK",36&lt;=Creditos!$H$11),IF(R341&gt;0.005,"Exceso sin imputar",IF(P341&lt;=0.005,"Pagada",IF(E341&lt;Supuestos!$D$6,"Vencida",IF(E341=Supuestos!$D$6,"Vence hoy","Por vencer")))),"")</f>
        <v/>
      </c>
      <c r="T341" s="46">
        <f>IF(AND(Creditos!$C$11&lt;&gt;"",Creditos!$M$11="OK",36&lt;=Creditos!$H$11),IF(P341&gt;0.005,E341,999999),999999)</f>
        <v>999999</v>
      </c>
    </row>
    <row r="342" ht="25.5" customHeight="1">
      <c r="C342" s="46" t="str">
        <f>IF(AND(Creditos!$C$11&lt;&gt;"",Creditos!$M$11="OK",37&lt;=Creditos!$H$11),Creditos!$C$11,"")</f>
        <v/>
      </c>
      <c r="D342" s="46" t="str">
        <f>IF(AND(Creditos!$C$11&lt;&gt;"",Creditos!$M$11="OK",37&lt;=Creditos!$H$11),37,"")</f>
        <v/>
      </c>
      <c r="E342" s="47" t="str">
        <f>IF(AND(Creditos!$C$11&lt;&gt;"",Creditos!$M$11="OK",37&lt;=Creditos!$H$11),EDATE(Creditos!$I$11,36),"")</f>
        <v/>
      </c>
      <c r="F342" s="48" t="str">
        <f>IF(AND(Creditos!$C$11&lt;&gt;"",Creditos!$M$11="OK",37&lt;=Creditos!$H$11),M341,"")</f>
        <v/>
      </c>
      <c r="G342" s="49" t="str">
        <f>IF(AND(Creditos!$C$11&lt;&gt;"",Creditos!$M$11="OK",37&lt;=Creditos!$H$11),Creditos!$N$11,"")</f>
        <v/>
      </c>
      <c r="H342" s="48" t="str">
        <f>IF(AND(Creditos!$C$11&lt;&gt;"",Creditos!$M$11="OK",37&lt;=Creditos!$H$11),ROUND(F342*G342,2),"")</f>
        <v/>
      </c>
      <c r="I342" s="48" t="str">
        <f>IF(AND(Creditos!$C$11&lt;&gt;"",Creditos!$M$11="OK",37&lt;=Creditos!$H$11),IF(37=Creditos!$H$11,F342+H342,MIN(Creditos!$O$11,F342+H342)),"")</f>
        <v/>
      </c>
      <c r="J342" s="48" t="str">
        <f>IF(AND(Creditos!$C$11&lt;&gt;"",Creditos!$M$11="OK",37&lt;=Creditos!$H$11),MIN(F342,MAX(0,I342-H342)),"")</f>
        <v/>
      </c>
      <c r="K342" s="48" t="str">
        <f>IF(AND(Creditos!$C$11&lt;&gt;"",Creditos!$M$11="OK",37&lt;=Creditos!$H$11),Creditos!$J$11+Creditos!$K$11,"")</f>
        <v/>
      </c>
      <c r="L342" s="48" t="str">
        <f>IF(AND(Creditos!$C$11&lt;&gt;"",Creditos!$M$11="OK",37&lt;=Creditos!$H$11),I342+K342,"")</f>
        <v/>
      </c>
      <c r="M342" s="48" t="str">
        <f>IF(AND(Creditos!$C$11&lt;&gt;"",Creditos!$M$11="OK",37&lt;=Creditos!$H$11),MAX(0,F342-J342),"")</f>
        <v/>
      </c>
      <c r="N342" s="48" t="str">
        <f>IF(AND(Creditos!$C$11&lt;&gt;"",Creditos!$M$11="OK",37&lt;=Creditos!$H$11),SUMIFS(Pagos!$F$6:$F$305,Pagos!$C$6:$C$305,C342,Pagos!$D$6:$D$305,D342,Pagos!$E$6:$E$305,"&lt;="&amp;Supuestos!$D$6,Pagos!$H$6:$H$305,"OK"),"")</f>
        <v/>
      </c>
      <c r="O342" s="48" t="str">
        <f>IF(AND(Creditos!$C$11&lt;&gt;"",Creditos!$M$11="OK",37&lt;=Creditos!$H$11),MIN(J342,MAX(0,N342-K342-H342)),"")</f>
        <v/>
      </c>
      <c r="P342" s="48" t="str">
        <f>IF(AND(Creditos!$C$11&lt;&gt;"",Creditos!$M$11="OK",37&lt;=Creditos!$H$11),MAX(0,L342-N342),"")</f>
        <v/>
      </c>
      <c r="Q342" s="50" t="str">
        <f>IF(AND(Creditos!$C$11&lt;&gt;"",Creditos!$M$11="OK",37&lt;=Creditos!$H$11),IF(AND(E342&lt;Supuestos!$D$6,P342&gt;0.005),Supuestos!$D$6-E342,0),"")</f>
        <v/>
      </c>
      <c r="R342" s="48" t="str">
        <f>IF(AND(Creditos!$C$11&lt;&gt;"",Creditos!$M$11="OK",37&lt;=Creditos!$H$11),MAX(0,N342-L342),"")</f>
        <v/>
      </c>
      <c r="S342" s="46" t="str">
        <f>IF(AND(Creditos!$C$11&lt;&gt;"",Creditos!$M$11="OK",37&lt;=Creditos!$H$11),IF(R342&gt;0.005,"Exceso sin imputar",IF(P342&lt;=0.005,"Pagada",IF(E342&lt;Supuestos!$D$6,"Vencida",IF(E342=Supuestos!$D$6,"Vence hoy","Por vencer")))),"")</f>
        <v/>
      </c>
      <c r="T342" s="46">
        <f>IF(AND(Creditos!$C$11&lt;&gt;"",Creditos!$M$11="OK",37&lt;=Creditos!$H$11),IF(P342&gt;0.005,E342,999999),999999)</f>
        <v>999999</v>
      </c>
    </row>
    <row r="343" ht="25.5" customHeight="1">
      <c r="C343" s="46" t="str">
        <f>IF(AND(Creditos!$C$11&lt;&gt;"",Creditos!$M$11="OK",38&lt;=Creditos!$H$11),Creditos!$C$11,"")</f>
        <v/>
      </c>
      <c r="D343" s="46" t="str">
        <f>IF(AND(Creditos!$C$11&lt;&gt;"",Creditos!$M$11="OK",38&lt;=Creditos!$H$11),38,"")</f>
        <v/>
      </c>
      <c r="E343" s="47" t="str">
        <f>IF(AND(Creditos!$C$11&lt;&gt;"",Creditos!$M$11="OK",38&lt;=Creditos!$H$11),EDATE(Creditos!$I$11,37),"")</f>
        <v/>
      </c>
      <c r="F343" s="48" t="str">
        <f>IF(AND(Creditos!$C$11&lt;&gt;"",Creditos!$M$11="OK",38&lt;=Creditos!$H$11),M342,"")</f>
        <v/>
      </c>
      <c r="G343" s="49" t="str">
        <f>IF(AND(Creditos!$C$11&lt;&gt;"",Creditos!$M$11="OK",38&lt;=Creditos!$H$11),Creditos!$N$11,"")</f>
        <v/>
      </c>
      <c r="H343" s="48" t="str">
        <f>IF(AND(Creditos!$C$11&lt;&gt;"",Creditos!$M$11="OK",38&lt;=Creditos!$H$11),ROUND(F343*G343,2),"")</f>
        <v/>
      </c>
      <c r="I343" s="48" t="str">
        <f>IF(AND(Creditos!$C$11&lt;&gt;"",Creditos!$M$11="OK",38&lt;=Creditos!$H$11),IF(38=Creditos!$H$11,F343+H343,MIN(Creditos!$O$11,F343+H343)),"")</f>
        <v/>
      </c>
      <c r="J343" s="48" t="str">
        <f>IF(AND(Creditos!$C$11&lt;&gt;"",Creditos!$M$11="OK",38&lt;=Creditos!$H$11),MIN(F343,MAX(0,I343-H343)),"")</f>
        <v/>
      </c>
      <c r="K343" s="48" t="str">
        <f>IF(AND(Creditos!$C$11&lt;&gt;"",Creditos!$M$11="OK",38&lt;=Creditos!$H$11),Creditos!$J$11+Creditos!$K$11,"")</f>
        <v/>
      </c>
      <c r="L343" s="48" t="str">
        <f>IF(AND(Creditos!$C$11&lt;&gt;"",Creditos!$M$11="OK",38&lt;=Creditos!$H$11),I343+K343,"")</f>
        <v/>
      </c>
      <c r="M343" s="48" t="str">
        <f>IF(AND(Creditos!$C$11&lt;&gt;"",Creditos!$M$11="OK",38&lt;=Creditos!$H$11),MAX(0,F343-J343),"")</f>
        <v/>
      </c>
      <c r="N343" s="48" t="str">
        <f>IF(AND(Creditos!$C$11&lt;&gt;"",Creditos!$M$11="OK",38&lt;=Creditos!$H$11),SUMIFS(Pagos!$F$6:$F$305,Pagos!$C$6:$C$305,C343,Pagos!$D$6:$D$305,D343,Pagos!$E$6:$E$305,"&lt;="&amp;Supuestos!$D$6,Pagos!$H$6:$H$305,"OK"),"")</f>
        <v/>
      </c>
      <c r="O343" s="48" t="str">
        <f>IF(AND(Creditos!$C$11&lt;&gt;"",Creditos!$M$11="OK",38&lt;=Creditos!$H$11),MIN(J343,MAX(0,N343-K343-H343)),"")</f>
        <v/>
      </c>
      <c r="P343" s="48" t="str">
        <f>IF(AND(Creditos!$C$11&lt;&gt;"",Creditos!$M$11="OK",38&lt;=Creditos!$H$11),MAX(0,L343-N343),"")</f>
        <v/>
      </c>
      <c r="Q343" s="50" t="str">
        <f>IF(AND(Creditos!$C$11&lt;&gt;"",Creditos!$M$11="OK",38&lt;=Creditos!$H$11),IF(AND(E343&lt;Supuestos!$D$6,P343&gt;0.005),Supuestos!$D$6-E343,0),"")</f>
        <v/>
      </c>
      <c r="R343" s="48" t="str">
        <f>IF(AND(Creditos!$C$11&lt;&gt;"",Creditos!$M$11="OK",38&lt;=Creditos!$H$11),MAX(0,N343-L343),"")</f>
        <v/>
      </c>
      <c r="S343" s="46" t="str">
        <f>IF(AND(Creditos!$C$11&lt;&gt;"",Creditos!$M$11="OK",38&lt;=Creditos!$H$11),IF(R343&gt;0.005,"Exceso sin imputar",IF(P343&lt;=0.005,"Pagada",IF(E343&lt;Supuestos!$D$6,"Vencida",IF(E343=Supuestos!$D$6,"Vence hoy","Por vencer")))),"")</f>
        <v/>
      </c>
      <c r="T343" s="46">
        <f>IF(AND(Creditos!$C$11&lt;&gt;"",Creditos!$M$11="OK",38&lt;=Creditos!$H$11),IF(P343&gt;0.005,E343,999999),999999)</f>
        <v>999999</v>
      </c>
    </row>
    <row r="344" ht="25.5" customHeight="1">
      <c r="C344" s="46" t="str">
        <f>IF(AND(Creditos!$C$11&lt;&gt;"",Creditos!$M$11="OK",39&lt;=Creditos!$H$11),Creditos!$C$11,"")</f>
        <v/>
      </c>
      <c r="D344" s="46" t="str">
        <f>IF(AND(Creditos!$C$11&lt;&gt;"",Creditos!$M$11="OK",39&lt;=Creditos!$H$11),39,"")</f>
        <v/>
      </c>
      <c r="E344" s="47" t="str">
        <f>IF(AND(Creditos!$C$11&lt;&gt;"",Creditos!$M$11="OK",39&lt;=Creditos!$H$11),EDATE(Creditos!$I$11,38),"")</f>
        <v/>
      </c>
      <c r="F344" s="48" t="str">
        <f>IF(AND(Creditos!$C$11&lt;&gt;"",Creditos!$M$11="OK",39&lt;=Creditos!$H$11),M343,"")</f>
        <v/>
      </c>
      <c r="G344" s="49" t="str">
        <f>IF(AND(Creditos!$C$11&lt;&gt;"",Creditos!$M$11="OK",39&lt;=Creditos!$H$11),Creditos!$N$11,"")</f>
        <v/>
      </c>
      <c r="H344" s="48" t="str">
        <f>IF(AND(Creditos!$C$11&lt;&gt;"",Creditos!$M$11="OK",39&lt;=Creditos!$H$11),ROUND(F344*G344,2),"")</f>
        <v/>
      </c>
      <c r="I344" s="48" t="str">
        <f>IF(AND(Creditos!$C$11&lt;&gt;"",Creditos!$M$11="OK",39&lt;=Creditos!$H$11),IF(39=Creditos!$H$11,F344+H344,MIN(Creditos!$O$11,F344+H344)),"")</f>
        <v/>
      </c>
      <c r="J344" s="48" t="str">
        <f>IF(AND(Creditos!$C$11&lt;&gt;"",Creditos!$M$11="OK",39&lt;=Creditos!$H$11),MIN(F344,MAX(0,I344-H344)),"")</f>
        <v/>
      </c>
      <c r="K344" s="48" t="str">
        <f>IF(AND(Creditos!$C$11&lt;&gt;"",Creditos!$M$11="OK",39&lt;=Creditos!$H$11),Creditos!$J$11+Creditos!$K$11,"")</f>
        <v/>
      </c>
      <c r="L344" s="48" t="str">
        <f>IF(AND(Creditos!$C$11&lt;&gt;"",Creditos!$M$11="OK",39&lt;=Creditos!$H$11),I344+K344,"")</f>
        <v/>
      </c>
      <c r="M344" s="48" t="str">
        <f>IF(AND(Creditos!$C$11&lt;&gt;"",Creditos!$M$11="OK",39&lt;=Creditos!$H$11),MAX(0,F344-J344),"")</f>
        <v/>
      </c>
      <c r="N344" s="48" t="str">
        <f>IF(AND(Creditos!$C$11&lt;&gt;"",Creditos!$M$11="OK",39&lt;=Creditos!$H$11),SUMIFS(Pagos!$F$6:$F$305,Pagos!$C$6:$C$305,C344,Pagos!$D$6:$D$305,D344,Pagos!$E$6:$E$305,"&lt;="&amp;Supuestos!$D$6,Pagos!$H$6:$H$305,"OK"),"")</f>
        <v/>
      </c>
      <c r="O344" s="48" t="str">
        <f>IF(AND(Creditos!$C$11&lt;&gt;"",Creditos!$M$11="OK",39&lt;=Creditos!$H$11),MIN(J344,MAX(0,N344-K344-H344)),"")</f>
        <v/>
      </c>
      <c r="P344" s="48" t="str">
        <f>IF(AND(Creditos!$C$11&lt;&gt;"",Creditos!$M$11="OK",39&lt;=Creditos!$H$11),MAX(0,L344-N344),"")</f>
        <v/>
      </c>
      <c r="Q344" s="50" t="str">
        <f>IF(AND(Creditos!$C$11&lt;&gt;"",Creditos!$M$11="OK",39&lt;=Creditos!$H$11),IF(AND(E344&lt;Supuestos!$D$6,P344&gt;0.005),Supuestos!$D$6-E344,0),"")</f>
        <v/>
      </c>
      <c r="R344" s="48" t="str">
        <f>IF(AND(Creditos!$C$11&lt;&gt;"",Creditos!$M$11="OK",39&lt;=Creditos!$H$11),MAX(0,N344-L344),"")</f>
        <v/>
      </c>
      <c r="S344" s="46" t="str">
        <f>IF(AND(Creditos!$C$11&lt;&gt;"",Creditos!$M$11="OK",39&lt;=Creditos!$H$11),IF(R344&gt;0.005,"Exceso sin imputar",IF(P344&lt;=0.005,"Pagada",IF(E344&lt;Supuestos!$D$6,"Vencida",IF(E344=Supuestos!$D$6,"Vence hoy","Por vencer")))),"")</f>
        <v/>
      </c>
      <c r="T344" s="46">
        <f>IF(AND(Creditos!$C$11&lt;&gt;"",Creditos!$M$11="OK",39&lt;=Creditos!$H$11),IF(P344&gt;0.005,E344,999999),999999)</f>
        <v>999999</v>
      </c>
    </row>
    <row r="345" ht="25.5" customHeight="1">
      <c r="C345" s="46" t="str">
        <f>IF(AND(Creditos!$C$11&lt;&gt;"",Creditos!$M$11="OK",40&lt;=Creditos!$H$11),Creditos!$C$11,"")</f>
        <v/>
      </c>
      <c r="D345" s="46" t="str">
        <f>IF(AND(Creditos!$C$11&lt;&gt;"",Creditos!$M$11="OK",40&lt;=Creditos!$H$11),40,"")</f>
        <v/>
      </c>
      <c r="E345" s="47" t="str">
        <f>IF(AND(Creditos!$C$11&lt;&gt;"",Creditos!$M$11="OK",40&lt;=Creditos!$H$11),EDATE(Creditos!$I$11,39),"")</f>
        <v/>
      </c>
      <c r="F345" s="48" t="str">
        <f>IF(AND(Creditos!$C$11&lt;&gt;"",Creditos!$M$11="OK",40&lt;=Creditos!$H$11),M344,"")</f>
        <v/>
      </c>
      <c r="G345" s="49" t="str">
        <f>IF(AND(Creditos!$C$11&lt;&gt;"",Creditos!$M$11="OK",40&lt;=Creditos!$H$11),Creditos!$N$11,"")</f>
        <v/>
      </c>
      <c r="H345" s="48" t="str">
        <f>IF(AND(Creditos!$C$11&lt;&gt;"",Creditos!$M$11="OK",40&lt;=Creditos!$H$11),ROUND(F345*G345,2),"")</f>
        <v/>
      </c>
      <c r="I345" s="48" t="str">
        <f>IF(AND(Creditos!$C$11&lt;&gt;"",Creditos!$M$11="OK",40&lt;=Creditos!$H$11),IF(40=Creditos!$H$11,F345+H345,MIN(Creditos!$O$11,F345+H345)),"")</f>
        <v/>
      </c>
      <c r="J345" s="48" t="str">
        <f>IF(AND(Creditos!$C$11&lt;&gt;"",Creditos!$M$11="OK",40&lt;=Creditos!$H$11),MIN(F345,MAX(0,I345-H345)),"")</f>
        <v/>
      </c>
      <c r="K345" s="48" t="str">
        <f>IF(AND(Creditos!$C$11&lt;&gt;"",Creditos!$M$11="OK",40&lt;=Creditos!$H$11),Creditos!$J$11+Creditos!$K$11,"")</f>
        <v/>
      </c>
      <c r="L345" s="48" t="str">
        <f>IF(AND(Creditos!$C$11&lt;&gt;"",Creditos!$M$11="OK",40&lt;=Creditos!$H$11),I345+K345,"")</f>
        <v/>
      </c>
      <c r="M345" s="48" t="str">
        <f>IF(AND(Creditos!$C$11&lt;&gt;"",Creditos!$M$11="OK",40&lt;=Creditos!$H$11),MAX(0,F345-J345),"")</f>
        <v/>
      </c>
      <c r="N345" s="48" t="str">
        <f>IF(AND(Creditos!$C$11&lt;&gt;"",Creditos!$M$11="OK",40&lt;=Creditos!$H$11),SUMIFS(Pagos!$F$6:$F$305,Pagos!$C$6:$C$305,C345,Pagos!$D$6:$D$305,D345,Pagos!$E$6:$E$305,"&lt;="&amp;Supuestos!$D$6,Pagos!$H$6:$H$305,"OK"),"")</f>
        <v/>
      </c>
      <c r="O345" s="48" t="str">
        <f>IF(AND(Creditos!$C$11&lt;&gt;"",Creditos!$M$11="OK",40&lt;=Creditos!$H$11),MIN(J345,MAX(0,N345-K345-H345)),"")</f>
        <v/>
      </c>
      <c r="P345" s="48" t="str">
        <f>IF(AND(Creditos!$C$11&lt;&gt;"",Creditos!$M$11="OK",40&lt;=Creditos!$H$11),MAX(0,L345-N345),"")</f>
        <v/>
      </c>
      <c r="Q345" s="50" t="str">
        <f>IF(AND(Creditos!$C$11&lt;&gt;"",Creditos!$M$11="OK",40&lt;=Creditos!$H$11),IF(AND(E345&lt;Supuestos!$D$6,P345&gt;0.005),Supuestos!$D$6-E345,0),"")</f>
        <v/>
      </c>
      <c r="R345" s="48" t="str">
        <f>IF(AND(Creditos!$C$11&lt;&gt;"",Creditos!$M$11="OK",40&lt;=Creditos!$H$11),MAX(0,N345-L345),"")</f>
        <v/>
      </c>
      <c r="S345" s="46" t="str">
        <f>IF(AND(Creditos!$C$11&lt;&gt;"",Creditos!$M$11="OK",40&lt;=Creditos!$H$11),IF(R345&gt;0.005,"Exceso sin imputar",IF(P345&lt;=0.005,"Pagada",IF(E345&lt;Supuestos!$D$6,"Vencida",IF(E345=Supuestos!$D$6,"Vence hoy","Por vencer")))),"")</f>
        <v/>
      </c>
      <c r="T345" s="46">
        <f>IF(AND(Creditos!$C$11&lt;&gt;"",Creditos!$M$11="OK",40&lt;=Creditos!$H$11),IF(P345&gt;0.005,E345,999999),999999)</f>
        <v>999999</v>
      </c>
    </row>
    <row r="346" ht="25.5" customHeight="1">
      <c r="C346" s="46" t="str">
        <f>IF(AND(Creditos!$C$11&lt;&gt;"",Creditos!$M$11="OK",41&lt;=Creditos!$H$11),Creditos!$C$11,"")</f>
        <v/>
      </c>
      <c r="D346" s="46" t="str">
        <f>IF(AND(Creditos!$C$11&lt;&gt;"",Creditos!$M$11="OK",41&lt;=Creditos!$H$11),41,"")</f>
        <v/>
      </c>
      <c r="E346" s="47" t="str">
        <f>IF(AND(Creditos!$C$11&lt;&gt;"",Creditos!$M$11="OK",41&lt;=Creditos!$H$11),EDATE(Creditos!$I$11,40),"")</f>
        <v/>
      </c>
      <c r="F346" s="48" t="str">
        <f>IF(AND(Creditos!$C$11&lt;&gt;"",Creditos!$M$11="OK",41&lt;=Creditos!$H$11),M345,"")</f>
        <v/>
      </c>
      <c r="G346" s="49" t="str">
        <f>IF(AND(Creditos!$C$11&lt;&gt;"",Creditos!$M$11="OK",41&lt;=Creditos!$H$11),Creditos!$N$11,"")</f>
        <v/>
      </c>
      <c r="H346" s="48" t="str">
        <f>IF(AND(Creditos!$C$11&lt;&gt;"",Creditos!$M$11="OK",41&lt;=Creditos!$H$11),ROUND(F346*G346,2),"")</f>
        <v/>
      </c>
      <c r="I346" s="48" t="str">
        <f>IF(AND(Creditos!$C$11&lt;&gt;"",Creditos!$M$11="OK",41&lt;=Creditos!$H$11),IF(41=Creditos!$H$11,F346+H346,MIN(Creditos!$O$11,F346+H346)),"")</f>
        <v/>
      </c>
      <c r="J346" s="48" t="str">
        <f>IF(AND(Creditos!$C$11&lt;&gt;"",Creditos!$M$11="OK",41&lt;=Creditos!$H$11),MIN(F346,MAX(0,I346-H346)),"")</f>
        <v/>
      </c>
      <c r="K346" s="48" t="str">
        <f>IF(AND(Creditos!$C$11&lt;&gt;"",Creditos!$M$11="OK",41&lt;=Creditos!$H$11),Creditos!$J$11+Creditos!$K$11,"")</f>
        <v/>
      </c>
      <c r="L346" s="48" t="str">
        <f>IF(AND(Creditos!$C$11&lt;&gt;"",Creditos!$M$11="OK",41&lt;=Creditos!$H$11),I346+K346,"")</f>
        <v/>
      </c>
      <c r="M346" s="48" t="str">
        <f>IF(AND(Creditos!$C$11&lt;&gt;"",Creditos!$M$11="OK",41&lt;=Creditos!$H$11),MAX(0,F346-J346),"")</f>
        <v/>
      </c>
      <c r="N346" s="48" t="str">
        <f>IF(AND(Creditos!$C$11&lt;&gt;"",Creditos!$M$11="OK",41&lt;=Creditos!$H$11),SUMIFS(Pagos!$F$6:$F$305,Pagos!$C$6:$C$305,C346,Pagos!$D$6:$D$305,D346,Pagos!$E$6:$E$305,"&lt;="&amp;Supuestos!$D$6,Pagos!$H$6:$H$305,"OK"),"")</f>
        <v/>
      </c>
      <c r="O346" s="48" t="str">
        <f>IF(AND(Creditos!$C$11&lt;&gt;"",Creditos!$M$11="OK",41&lt;=Creditos!$H$11),MIN(J346,MAX(0,N346-K346-H346)),"")</f>
        <v/>
      </c>
      <c r="P346" s="48" t="str">
        <f>IF(AND(Creditos!$C$11&lt;&gt;"",Creditos!$M$11="OK",41&lt;=Creditos!$H$11),MAX(0,L346-N346),"")</f>
        <v/>
      </c>
      <c r="Q346" s="50" t="str">
        <f>IF(AND(Creditos!$C$11&lt;&gt;"",Creditos!$M$11="OK",41&lt;=Creditos!$H$11),IF(AND(E346&lt;Supuestos!$D$6,P346&gt;0.005),Supuestos!$D$6-E346,0),"")</f>
        <v/>
      </c>
      <c r="R346" s="48" t="str">
        <f>IF(AND(Creditos!$C$11&lt;&gt;"",Creditos!$M$11="OK",41&lt;=Creditos!$H$11),MAX(0,N346-L346),"")</f>
        <v/>
      </c>
      <c r="S346" s="46" t="str">
        <f>IF(AND(Creditos!$C$11&lt;&gt;"",Creditos!$M$11="OK",41&lt;=Creditos!$H$11),IF(R346&gt;0.005,"Exceso sin imputar",IF(P346&lt;=0.005,"Pagada",IF(E346&lt;Supuestos!$D$6,"Vencida",IF(E346=Supuestos!$D$6,"Vence hoy","Por vencer")))),"")</f>
        <v/>
      </c>
      <c r="T346" s="46">
        <f>IF(AND(Creditos!$C$11&lt;&gt;"",Creditos!$M$11="OK",41&lt;=Creditos!$H$11),IF(P346&gt;0.005,E346,999999),999999)</f>
        <v>999999</v>
      </c>
    </row>
    <row r="347" ht="25.5" customHeight="1">
      <c r="C347" s="46" t="str">
        <f>IF(AND(Creditos!$C$11&lt;&gt;"",Creditos!$M$11="OK",42&lt;=Creditos!$H$11),Creditos!$C$11,"")</f>
        <v/>
      </c>
      <c r="D347" s="46" t="str">
        <f>IF(AND(Creditos!$C$11&lt;&gt;"",Creditos!$M$11="OK",42&lt;=Creditos!$H$11),42,"")</f>
        <v/>
      </c>
      <c r="E347" s="47" t="str">
        <f>IF(AND(Creditos!$C$11&lt;&gt;"",Creditos!$M$11="OK",42&lt;=Creditos!$H$11),EDATE(Creditos!$I$11,41),"")</f>
        <v/>
      </c>
      <c r="F347" s="48" t="str">
        <f>IF(AND(Creditos!$C$11&lt;&gt;"",Creditos!$M$11="OK",42&lt;=Creditos!$H$11),M346,"")</f>
        <v/>
      </c>
      <c r="G347" s="49" t="str">
        <f>IF(AND(Creditos!$C$11&lt;&gt;"",Creditos!$M$11="OK",42&lt;=Creditos!$H$11),Creditos!$N$11,"")</f>
        <v/>
      </c>
      <c r="H347" s="48" t="str">
        <f>IF(AND(Creditos!$C$11&lt;&gt;"",Creditos!$M$11="OK",42&lt;=Creditos!$H$11),ROUND(F347*G347,2),"")</f>
        <v/>
      </c>
      <c r="I347" s="48" t="str">
        <f>IF(AND(Creditos!$C$11&lt;&gt;"",Creditos!$M$11="OK",42&lt;=Creditos!$H$11),IF(42=Creditos!$H$11,F347+H347,MIN(Creditos!$O$11,F347+H347)),"")</f>
        <v/>
      </c>
      <c r="J347" s="48" t="str">
        <f>IF(AND(Creditos!$C$11&lt;&gt;"",Creditos!$M$11="OK",42&lt;=Creditos!$H$11),MIN(F347,MAX(0,I347-H347)),"")</f>
        <v/>
      </c>
      <c r="K347" s="48" t="str">
        <f>IF(AND(Creditos!$C$11&lt;&gt;"",Creditos!$M$11="OK",42&lt;=Creditos!$H$11),Creditos!$J$11+Creditos!$K$11,"")</f>
        <v/>
      </c>
      <c r="L347" s="48" t="str">
        <f>IF(AND(Creditos!$C$11&lt;&gt;"",Creditos!$M$11="OK",42&lt;=Creditos!$H$11),I347+K347,"")</f>
        <v/>
      </c>
      <c r="M347" s="48" t="str">
        <f>IF(AND(Creditos!$C$11&lt;&gt;"",Creditos!$M$11="OK",42&lt;=Creditos!$H$11),MAX(0,F347-J347),"")</f>
        <v/>
      </c>
      <c r="N347" s="48" t="str">
        <f>IF(AND(Creditos!$C$11&lt;&gt;"",Creditos!$M$11="OK",42&lt;=Creditos!$H$11),SUMIFS(Pagos!$F$6:$F$305,Pagos!$C$6:$C$305,C347,Pagos!$D$6:$D$305,D347,Pagos!$E$6:$E$305,"&lt;="&amp;Supuestos!$D$6,Pagos!$H$6:$H$305,"OK"),"")</f>
        <v/>
      </c>
      <c r="O347" s="48" t="str">
        <f>IF(AND(Creditos!$C$11&lt;&gt;"",Creditos!$M$11="OK",42&lt;=Creditos!$H$11),MIN(J347,MAX(0,N347-K347-H347)),"")</f>
        <v/>
      </c>
      <c r="P347" s="48" t="str">
        <f>IF(AND(Creditos!$C$11&lt;&gt;"",Creditos!$M$11="OK",42&lt;=Creditos!$H$11),MAX(0,L347-N347),"")</f>
        <v/>
      </c>
      <c r="Q347" s="50" t="str">
        <f>IF(AND(Creditos!$C$11&lt;&gt;"",Creditos!$M$11="OK",42&lt;=Creditos!$H$11),IF(AND(E347&lt;Supuestos!$D$6,P347&gt;0.005),Supuestos!$D$6-E347,0),"")</f>
        <v/>
      </c>
      <c r="R347" s="48" t="str">
        <f>IF(AND(Creditos!$C$11&lt;&gt;"",Creditos!$M$11="OK",42&lt;=Creditos!$H$11),MAX(0,N347-L347),"")</f>
        <v/>
      </c>
      <c r="S347" s="46" t="str">
        <f>IF(AND(Creditos!$C$11&lt;&gt;"",Creditos!$M$11="OK",42&lt;=Creditos!$H$11),IF(R347&gt;0.005,"Exceso sin imputar",IF(P347&lt;=0.005,"Pagada",IF(E347&lt;Supuestos!$D$6,"Vencida",IF(E347=Supuestos!$D$6,"Vence hoy","Por vencer")))),"")</f>
        <v/>
      </c>
      <c r="T347" s="46">
        <f>IF(AND(Creditos!$C$11&lt;&gt;"",Creditos!$M$11="OK",42&lt;=Creditos!$H$11),IF(P347&gt;0.005,E347,999999),999999)</f>
        <v>999999</v>
      </c>
    </row>
    <row r="348" ht="25.5" customHeight="1">
      <c r="C348" s="46" t="str">
        <f>IF(AND(Creditos!$C$11&lt;&gt;"",Creditos!$M$11="OK",43&lt;=Creditos!$H$11),Creditos!$C$11,"")</f>
        <v/>
      </c>
      <c r="D348" s="46" t="str">
        <f>IF(AND(Creditos!$C$11&lt;&gt;"",Creditos!$M$11="OK",43&lt;=Creditos!$H$11),43,"")</f>
        <v/>
      </c>
      <c r="E348" s="47" t="str">
        <f>IF(AND(Creditos!$C$11&lt;&gt;"",Creditos!$M$11="OK",43&lt;=Creditos!$H$11),EDATE(Creditos!$I$11,42),"")</f>
        <v/>
      </c>
      <c r="F348" s="48" t="str">
        <f>IF(AND(Creditos!$C$11&lt;&gt;"",Creditos!$M$11="OK",43&lt;=Creditos!$H$11),M347,"")</f>
        <v/>
      </c>
      <c r="G348" s="49" t="str">
        <f>IF(AND(Creditos!$C$11&lt;&gt;"",Creditos!$M$11="OK",43&lt;=Creditos!$H$11),Creditos!$N$11,"")</f>
        <v/>
      </c>
      <c r="H348" s="48" t="str">
        <f>IF(AND(Creditos!$C$11&lt;&gt;"",Creditos!$M$11="OK",43&lt;=Creditos!$H$11),ROUND(F348*G348,2),"")</f>
        <v/>
      </c>
      <c r="I348" s="48" t="str">
        <f>IF(AND(Creditos!$C$11&lt;&gt;"",Creditos!$M$11="OK",43&lt;=Creditos!$H$11),IF(43=Creditos!$H$11,F348+H348,MIN(Creditos!$O$11,F348+H348)),"")</f>
        <v/>
      </c>
      <c r="J348" s="48" t="str">
        <f>IF(AND(Creditos!$C$11&lt;&gt;"",Creditos!$M$11="OK",43&lt;=Creditos!$H$11),MIN(F348,MAX(0,I348-H348)),"")</f>
        <v/>
      </c>
      <c r="K348" s="48" t="str">
        <f>IF(AND(Creditos!$C$11&lt;&gt;"",Creditos!$M$11="OK",43&lt;=Creditos!$H$11),Creditos!$J$11+Creditos!$K$11,"")</f>
        <v/>
      </c>
      <c r="L348" s="48" t="str">
        <f>IF(AND(Creditos!$C$11&lt;&gt;"",Creditos!$M$11="OK",43&lt;=Creditos!$H$11),I348+K348,"")</f>
        <v/>
      </c>
      <c r="M348" s="48" t="str">
        <f>IF(AND(Creditos!$C$11&lt;&gt;"",Creditos!$M$11="OK",43&lt;=Creditos!$H$11),MAX(0,F348-J348),"")</f>
        <v/>
      </c>
      <c r="N348" s="48" t="str">
        <f>IF(AND(Creditos!$C$11&lt;&gt;"",Creditos!$M$11="OK",43&lt;=Creditos!$H$11),SUMIFS(Pagos!$F$6:$F$305,Pagos!$C$6:$C$305,C348,Pagos!$D$6:$D$305,D348,Pagos!$E$6:$E$305,"&lt;="&amp;Supuestos!$D$6,Pagos!$H$6:$H$305,"OK"),"")</f>
        <v/>
      </c>
      <c r="O348" s="48" t="str">
        <f>IF(AND(Creditos!$C$11&lt;&gt;"",Creditos!$M$11="OK",43&lt;=Creditos!$H$11),MIN(J348,MAX(0,N348-K348-H348)),"")</f>
        <v/>
      </c>
      <c r="P348" s="48" t="str">
        <f>IF(AND(Creditos!$C$11&lt;&gt;"",Creditos!$M$11="OK",43&lt;=Creditos!$H$11),MAX(0,L348-N348),"")</f>
        <v/>
      </c>
      <c r="Q348" s="50" t="str">
        <f>IF(AND(Creditos!$C$11&lt;&gt;"",Creditos!$M$11="OK",43&lt;=Creditos!$H$11),IF(AND(E348&lt;Supuestos!$D$6,P348&gt;0.005),Supuestos!$D$6-E348,0),"")</f>
        <v/>
      </c>
      <c r="R348" s="48" t="str">
        <f>IF(AND(Creditos!$C$11&lt;&gt;"",Creditos!$M$11="OK",43&lt;=Creditos!$H$11),MAX(0,N348-L348),"")</f>
        <v/>
      </c>
      <c r="S348" s="46" t="str">
        <f>IF(AND(Creditos!$C$11&lt;&gt;"",Creditos!$M$11="OK",43&lt;=Creditos!$H$11),IF(R348&gt;0.005,"Exceso sin imputar",IF(P348&lt;=0.005,"Pagada",IF(E348&lt;Supuestos!$D$6,"Vencida",IF(E348=Supuestos!$D$6,"Vence hoy","Por vencer")))),"")</f>
        <v/>
      </c>
      <c r="T348" s="46">
        <f>IF(AND(Creditos!$C$11&lt;&gt;"",Creditos!$M$11="OK",43&lt;=Creditos!$H$11),IF(P348&gt;0.005,E348,999999),999999)</f>
        <v>999999</v>
      </c>
    </row>
    <row r="349" ht="25.5" customHeight="1">
      <c r="C349" s="46" t="str">
        <f>IF(AND(Creditos!$C$11&lt;&gt;"",Creditos!$M$11="OK",44&lt;=Creditos!$H$11),Creditos!$C$11,"")</f>
        <v/>
      </c>
      <c r="D349" s="46" t="str">
        <f>IF(AND(Creditos!$C$11&lt;&gt;"",Creditos!$M$11="OK",44&lt;=Creditos!$H$11),44,"")</f>
        <v/>
      </c>
      <c r="E349" s="47" t="str">
        <f>IF(AND(Creditos!$C$11&lt;&gt;"",Creditos!$M$11="OK",44&lt;=Creditos!$H$11),EDATE(Creditos!$I$11,43),"")</f>
        <v/>
      </c>
      <c r="F349" s="48" t="str">
        <f>IF(AND(Creditos!$C$11&lt;&gt;"",Creditos!$M$11="OK",44&lt;=Creditos!$H$11),M348,"")</f>
        <v/>
      </c>
      <c r="G349" s="49" t="str">
        <f>IF(AND(Creditos!$C$11&lt;&gt;"",Creditos!$M$11="OK",44&lt;=Creditos!$H$11),Creditos!$N$11,"")</f>
        <v/>
      </c>
      <c r="H349" s="48" t="str">
        <f>IF(AND(Creditos!$C$11&lt;&gt;"",Creditos!$M$11="OK",44&lt;=Creditos!$H$11),ROUND(F349*G349,2),"")</f>
        <v/>
      </c>
      <c r="I349" s="48" t="str">
        <f>IF(AND(Creditos!$C$11&lt;&gt;"",Creditos!$M$11="OK",44&lt;=Creditos!$H$11),IF(44=Creditos!$H$11,F349+H349,MIN(Creditos!$O$11,F349+H349)),"")</f>
        <v/>
      </c>
      <c r="J349" s="48" t="str">
        <f>IF(AND(Creditos!$C$11&lt;&gt;"",Creditos!$M$11="OK",44&lt;=Creditos!$H$11),MIN(F349,MAX(0,I349-H349)),"")</f>
        <v/>
      </c>
      <c r="K349" s="48" t="str">
        <f>IF(AND(Creditos!$C$11&lt;&gt;"",Creditos!$M$11="OK",44&lt;=Creditos!$H$11),Creditos!$J$11+Creditos!$K$11,"")</f>
        <v/>
      </c>
      <c r="L349" s="48" t="str">
        <f>IF(AND(Creditos!$C$11&lt;&gt;"",Creditos!$M$11="OK",44&lt;=Creditos!$H$11),I349+K349,"")</f>
        <v/>
      </c>
      <c r="M349" s="48" t="str">
        <f>IF(AND(Creditos!$C$11&lt;&gt;"",Creditos!$M$11="OK",44&lt;=Creditos!$H$11),MAX(0,F349-J349),"")</f>
        <v/>
      </c>
      <c r="N349" s="48" t="str">
        <f>IF(AND(Creditos!$C$11&lt;&gt;"",Creditos!$M$11="OK",44&lt;=Creditos!$H$11),SUMIFS(Pagos!$F$6:$F$305,Pagos!$C$6:$C$305,C349,Pagos!$D$6:$D$305,D349,Pagos!$E$6:$E$305,"&lt;="&amp;Supuestos!$D$6,Pagos!$H$6:$H$305,"OK"),"")</f>
        <v/>
      </c>
      <c r="O349" s="48" t="str">
        <f>IF(AND(Creditos!$C$11&lt;&gt;"",Creditos!$M$11="OK",44&lt;=Creditos!$H$11),MIN(J349,MAX(0,N349-K349-H349)),"")</f>
        <v/>
      </c>
      <c r="P349" s="48" t="str">
        <f>IF(AND(Creditos!$C$11&lt;&gt;"",Creditos!$M$11="OK",44&lt;=Creditos!$H$11),MAX(0,L349-N349),"")</f>
        <v/>
      </c>
      <c r="Q349" s="50" t="str">
        <f>IF(AND(Creditos!$C$11&lt;&gt;"",Creditos!$M$11="OK",44&lt;=Creditos!$H$11),IF(AND(E349&lt;Supuestos!$D$6,P349&gt;0.005),Supuestos!$D$6-E349,0),"")</f>
        <v/>
      </c>
      <c r="R349" s="48" t="str">
        <f>IF(AND(Creditos!$C$11&lt;&gt;"",Creditos!$M$11="OK",44&lt;=Creditos!$H$11),MAX(0,N349-L349),"")</f>
        <v/>
      </c>
      <c r="S349" s="46" t="str">
        <f>IF(AND(Creditos!$C$11&lt;&gt;"",Creditos!$M$11="OK",44&lt;=Creditos!$H$11),IF(R349&gt;0.005,"Exceso sin imputar",IF(P349&lt;=0.005,"Pagada",IF(E349&lt;Supuestos!$D$6,"Vencida",IF(E349=Supuestos!$D$6,"Vence hoy","Por vencer")))),"")</f>
        <v/>
      </c>
      <c r="T349" s="46">
        <f>IF(AND(Creditos!$C$11&lt;&gt;"",Creditos!$M$11="OK",44&lt;=Creditos!$H$11),IF(P349&gt;0.005,E349,999999),999999)</f>
        <v>999999</v>
      </c>
    </row>
    <row r="350" ht="25.5" customHeight="1">
      <c r="C350" s="46" t="str">
        <f>IF(AND(Creditos!$C$11&lt;&gt;"",Creditos!$M$11="OK",45&lt;=Creditos!$H$11),Creditos!$C$11,"")</f>
        <v/>
      </c>
      <c r="D350" s="46" t="str">
        <f>IF(AND(Creditos!$C$11&lt;&gt;"",Creditos!$M$11="OK",45&lt;=Creditos!$H$11),45,"")</f>
        <v/>
      </c>
      <c r="E350" s="47" t="str">
        <f>IF(AND(Creditos!$C$11&lt;&gt;"",Creditos!$M$11="OK",45&lt;=Creditos!$H$11),EDATE(Creditos!$I$11,44),"")</f>
        <v/>
      </c>
      <c r="F350" s="48" t="str">
        <f>IF(AND(Creditos!$C$11&lt;&gt;"",Creditos!$M$11="OK",45&lt;=Creditos!$H$11),M349,"")</f>
        <v/>
      </c>
      <c r="G350" s="49" t="str">
        <f>IF(AND(Creditos!$C$11&lt;&gt;"",Creditos!$M$11="OK",45&lt;=Creditos!$H$11),Creditos!$N$11,"")</f>
        <v/>
      </c>
      <c r="H350" s="48" t="str">
        <f>IF(AND(Creditos!$C$11&lt;&gt;"",Creditos!$M$11="OK",45&lt;=Creditos!$H$11),ROUND(F350*G350,2),"")</f>
        <v/>
      </c>
      <c r="I350" s="48" t="str">
        <f>IF(AND(Creditos!$C$11&lt;&gt;"",Creditos!$M$11="OK",45&lt;=Creditos!$H$11),IF(45=Creditos!$H$11,F350+H350,MIN(Creditos!$O$11,F350+H350)),"")</f>
        <v/>
      </c>
      <c r="J350" s="48" t="str">
        <f>IF(AND(Creditos!$C$11&lt;&gt;"",Creditos!$M$11="OK",45&lt;=Creditos!$H$11),MIN(F350,MAX(0,I350-H350)),"")</f>
        <v/>
      </c>
      <c r="K350" s="48" t="str">
        <f>IF(AND(Creditos!$C$11&lt;&gt;"",Creditos!$M$11="OK",45&lt;=Creditos!$H$11),Creditos!$J$11+Creditos!$K$11,"")</f>
        <v/>
      </c>
      <c r="L350" s="48" t="str">
        <f>IF(AND(Creditos!$C$11&lt;&gt;"",Creditos!$M$11="OK",45&lt;=Creditos!$H$11),I350+K350,"")</f>
        <v/>
      </c>
      <c r="M350" s="48" t="str">
        <f>IF(AND(Creditos!$C$11&lt;&gt;"",Creditos!$M$11="OK",45&lt;=Creditos!$H$11),MAX(0,F350-J350),"")</f>
        <v/>
      </c>
      <c r="N350" s="48" t="str">
        <f>IF(AND(Creditos!$C$11&lt;&gt;"",Creditos!$M$11="OK",45&lt;=Creditos!$H$11),SUMIFS(Pagos!$F$6:$F$305,Pagos!$C$6:$C$305,C350,Pagos!$D$6:$D$305,D350,Pagos!$E$6:$E$305,"&lt;="&amp;Supuestos!$D$6,Pagos!$H$6:$H$305,"OK"),"")</f>
        <v/>
      </c>
      <c r="O350" s="48" t="str">
        <f>IF(AND(Creditos!$C$11&lt;&gt;"",Creditos!$M$11="OK",45&lt;=Creditos!$H$11),MIN(J350,MAX(0,N350-K350-H350)),"")</f>
        <v/>
      </c>
      <c r="P350" s="48" t="str">
        <f>IF(AND(Creditos!$C$11&lt;&gt;"",Creditos!$M$11="OK",45&lt;=Creditos!$H$11),MAX(0,L350-N350),"")</f>
        <v/>
      </c>
      <c r="Q350" s="50" t="str">
        <f>IF(AND(Creditos!$C$11&lt;&gt;"",Creditos!$M$11="OK",45&lt;=Creditos!$H$11),IF(AND(E350&lt;Supuestos!$D$6,P350&gt;0.005),Supuestos!$D$6-E350,0),"")</f>
        <v/>
      </c>
      <c r="R350" s="48" t="str">
        <f>IF(AND(Creditos!$C$11&lt;&gt;"",Creditos!$M$11="OK",45&lt;=Creditos!$H$11),MAX(0,N350-L350),"")</f>
        <v/>
      </c>
      <c r="S350" s="46" t="str">
        <f>IF(AND(Creditos!$C$11&lt;&gt;"",Creditos!$M$11="OK",45&lt;=Creditos!$H$11),IF(R350&gt;0.005,"Exceso sin imputar",IF(P350&lt;=0.005,"Pagada",IF(E350&lt;Supuestos!$D$6,"Vencida",IF(E350=Supuestos!$D$6,"Vence hoy","Por vencer")))),"")</f>
        <v/>
      </c>
      <c r="T350" s="46">
        <f>IF(AND(Creditos!$C$11&lt;&gt;"",Creditos!$M$11="OK",45&lt;=Creditos!$H$11),IF(P350&gt;0.005,E350,999999),999999)</f>
        <v>999999</v>
      </c>
    </row>
    <row r="351" ht="25.5" customHeight="1">
      <c r="C351" s="46" t="str">
        <f>IF(AND(Creditos!$C$11&lt;&gt;"",Creditos!$M$11="OK",46&lt;=Creditos!$H$11),Creditos!$C$11,"")</f>
        <v/>
      </c>
      <c r="D351" s="46" t="str">
        <f>IF(AND(Creditos!$C$11&lt;&gt;"",Creditos!$M$11="OK",46&lt;=Creditos!$H$11),46,"")</f>
        <v/>
      </c>
      <c r="E351" s="47" t="str">
        <f>IF(AND(Creditos!$C$11&lt;&gt;"",Creditos!$M$11="OK",46&lt;=Creditos!$H$11),EDATE(Creditos!$I$11,45),"")</f>
        <v/>
      </c>
      <c r="F351" s="48" t="str">
        <f>IF(AND(Creditos!$C$11&lt;&gt;"",Creditos!$M$11="OK",46&lt;=Creditos!$H$11),M350,"")</f>
        <v/>
      </c>
      <c r="G351" s="49" t="str">
        <f>IF(AND(Creditos!$C$11&lt;&gt;"",Creditos!$M$11="OK",46&lt;=Creditos!$H$11),Creditos!$N$11,"")</f>
        <v/>
      </c>
      <c r="H351" s="48" t="str">
        <f>IF(AND(Creditos!$C$11&lt;&gt;"",Creditos!$M$11="OK",46&lt;=Creditos!$H$11),ROUND(F351*G351,2),"")</f>
        <v/>
      </c>
      <c r="I351" s="48" t="str">
        <f>IF(AND(Creditos!$C$11&lt;&gt;"",Creditos!$M$11="OK",46&lt;=Creditos!$H$11),IF(46=Creditos!$H$11,F351+H351,MIN(Creditos!$O$11,F351+H351)),"")</f>
        <v/>
      </c>
      <c r="J351" s="48" t="str">
        <f>IF(AND(Creditos!$C$11&lt;&gt;"",Creditos!$M$11="OK",46&lt;=Creditos!$H$11),MIN(F351,MAX(0,I351-H351)),"")</f>
        <v/>
      </c>
      <c r="K351" s="48" t="str">
        <f>IF(AND(Creditos!$C$11&lt;&gt;"",Creditos!$M$11="OK",46&lt;=Creditos!$H$11),Creditos!$J$11+Creditos!$K$11,"")</f>
        <v/>
      </c>
      <c r="L351" s="48" t="str">
        <f>IF(AND(Creditos!$C$11&lt;&gt;"",Creditos!$M$11="OK",46&lt;=Creditos!$H$11),I351+K351,"")</f>
        <v/>
      </c>
      <c r="M351" s="48" t="str">
        <f>IF(AND(Creditos!$C$11&lt;&gt;"",Creditos!$M$11="OK",46&lt;=Creditos!$H$11),MAX(0,F351-J351),"")</f>
        <v/>
      </c>
      <c r="N351" s="48" t="str">
        <f>IF(AND(Creditos!$C$11&lt;&gt;"",Creditos!$M$11="OK",46&lt;=Creditos!$H$11),SUMIFS(Pagos!$F$6:$F$305,Pagos!$C$6:$C$305,C351,Pagos!$D$6:$D$305,D351,Pagos!$E$6:$E$305,"&lt;="&amp;Supuestos!$D$6,Pagos!$H$6:$H$305,"OK"),"")</f>
        <v/>
      </c>
      <c r="O351" s="48" t="str">
        <f>IF(AND(Creditos!$C$11&lt;&gt;"",Creditos!$M$11="OK",46&lt;=Creditos!$H$11),MIN(J351,MAX(0,N351-K351-H351)),"")</f>
        <v/>
      </c>
      <c r="P351" s="48" t="str">
        <f>IF(AND(Creditos!$C$11&lt;&gt;"",Creditos!$M$11="OK",46&lt;=Creditos!$H$11),MAX(0,L351-N351),"")</f>
        <v/>
      </c>
      <c r="Q351" s="50" t="str">
        <f>IF(AND(Creditos!$C$11&lt;&gt;"",Creditos!$M$11="OK",46&lt;=Creditos!$H$11),IF(AND(E351&lt;Supuestos!$D$6,P351&gt;0.005),Supuestos!$D$6-E351,0),"")</f>
        <v/>
      </c>
      <c r="R351" s="48" t="str">
        <f>IF(AND(Creditos!$C$11&lt;&gt;"",Creditos!$M$11="OK",46&lt;=Creditos!$H$11),MAX(0,N351-L351),"")</f>
        <v/>
      </c>
      <c r="S351" s="46" t="str">
        <f>IF(AND(Creditos!$C$11&lt;&gt;"",Creditos!$M$11="OK",46&lt;=Creditos!$H$11),IF(R351&gt;0.005,"Exceso sin imputar",IF(P351&lt;=0.005,"Pagada",IF(E351&lt;Supuestos!$D$6,"Vencida",IF(E351=Supuestos!$D$6,"Vence hoy","Por vencer")))),"")</f>
        <v/>
      </c>
      <c r="T351" s="46">
        <f>IF(AND(Creditos!$C$11&lt;&gt;"",Creditos!$M$11="OK",46&lt;=Creditos!$H$11),IF(P351&gt;0.005,E351,999999),999999)</f>
        <v>999999</v>
      </c>
    </row>
    <row r="352" ht="25.5" customHeight="1">
      <c r="C352" s="46" t="str">
        <f>IF(AND(Creditos!$C$11&lt;&gt;"",Creditos!$M$11="OK",47&lt;=Creditos!$H$11),Creditos!$C$11,"")</f>
        <v/>
      </c>
      <c r="D352" s="46" t="str">
        <f>IF(AND(Creditos!$C$11&lt;&gt;"",Creditos!$M$11="OK",47&lt;=Creditos!$H$11),47,"")</f>
        <v/>
      </c>
      <c r="E352" s="47" t="str">
        <f>IF(AND(Creditos!$C$11&lt;&gt;"",Creditos!$M$11="OK",47&lt;=Creditos!$H$11),EDATE(Creditos!$I$11,46),"")</f>
        <v/>
      </c>
      <c r="F352" s="48" t="str">
        <f>IF(AND(Creditos!$C$11&lt;&gt;"",Creditos!$M$11="OK",47&lt;=Creditos!$H$11),M351,"")</f>
        <v/>
      </c>
      <c r="G352" s="49" t="str">
        <f>IF(AND(Creditos!$C$11&lt;&gt;"",Creditos!$M$11="OK",47&lt;=Creditos!$H$11),Creditos!$N$11,"")</f>
        <v/>
      </c>
      <c r="H352" s="48" t="str">
        <f>IF(AND(Creditos!$C$11&lt;&gt;"",Creditos!$M$11="OK",47&lt;=Creditos!$H$11),ROUND(F352*G352,2),"")</f>
        <v/>
      </c>
      <c r="I352" s="48" t="str">
        <f>IF(AND(Creditos!$C$11&lt;&gt;"",Creditos!$M$11="OK",47&lt;=Creditos!$H$11),IF(47=Creditos!$H$11,F352+H352,MIN(Creditos!$O$11,F352+H352)),"")</f>
        <v/>
      </c>
      <c r="J352" s="48" t="str">
        <f>IF(AND(Creditos!$C$11&lt;&gt;"",Creditos!$M$11="OK",47&lt;=Creditos!$H$11),MIN(F352,MAX(0,I352-H352)),"")</f>
        <v/>
      </c>
      <c r="K352" s="48" t="str">
        <f>IF(AND(Creditos!$C$11&lt;&gt;"",Creditos!$M$11="OK",47&lt;=Creditos!$H$11),Creditos!$J$11+Creditos!$K$11,"")</f>
        <v/>
      </c>
      <c r="L352" s="48" t="str">
        <f>IF(AND(Creditos!$C$11&lt;&gt;"",Creditos!$M$11="OK",47&lt;=Creditos!$H$11),I352+K352,"")</f>
        <v/>
      </c>
      <c r="M352" s="48" t="str">
        <f>IF(AND(Creditos!$C$11&lt;&gt;"",Creditos!$M$11="OK",47&lt;=Creditos!$H$11),MAX(0,F352-J352),"")</f>
        <v/>
      </c>
      <c r="N352" s="48" t="str">
        <f>IF(AND(Creditos!$C$11&lt;&gt;"",Creditos!$M$11="OK",47&lt;=Creditos!$H$11),SUMIFS(Pagos!$F$6:$F$305,Pagos!$C$6:$C$305,C352,Pagos!$D$6:$D$305,D352,Pagos!$E$6:$E$305,"&lt;="&amp;Supuestos!$D$6,Pagos!$H$6:$H$305,"OK"),"")</f>
        <v/>
      </c>
      <c r="O352" s="48" t="str">
        <f>IF(AND(Creditos!$C$11&lt;&gt;"",Creditos!$M$11="OK",47&lt;=Creditos!$H$11),MIN(J352,MAX(0,N352-K352-H352)),"")</f>
        <v/>
      </c>
      <c r="P352" s="48" t="str">
        <f>IF(AND(Creditos!$C$11&lt;&gt;"",Creditos!$M$11="OK",47&lt;=Creditos!$H$11),MAX(0,L352-N352),"")</f>
        <v/>
      </c>
      <c r="Q352" s="50" t="str">
        <f>IF(AND(Creditos!$C$11&lt;&gt;"",Creditos!$M$11="OK",47&lt;=Creditos!$H$11),IF(AND(E352&lt;Supuestos!$D$6,P352&gt;0.005),Supuestos!$D$6-E352,0),"")</f>
        <v/>
      </c>
      <c r="R352" s="48" t="str">
        <f>IF(AND(Creditos!$C$11&lt;&gt;"",Creditos!$M$11="OK",47&lt;=Creditos!$H$11),MAX(0,N352-L352),"")</f>
        <v/>
      </c>
      <c r="S352" s="46" t="str">
        <f>IF(AND(Creditos!$C$11&lt;&gt;"",Creditos!$M$11="OK",47&lt;=Creditos!$H$11),IF(R352&gt;0.005,"Exceso sin imputar",IF(P352&lt;=0.005,"Pagada",IF(E352&lt;Supuestos!$D$6,"Vencida",IF(E352=Supuestos!$D$6,"Vence hoy","Por vencer")))),"")</f>
        <v/>
      </c>
      <c r="T352" s="46">
        <f>IF(AND(Creditos!$C$11&lt;&gt;"",Creditos!$M$11="OK",47&lt;=Creditos!$H$11),IF(P352&gt;0.005,E352,999999),999999)</f>
        <v>999999</v>
      </c>
    </row>
    <row r="353" ht="25.5" customHeight="1">
      <c r="C353" s="46" t="str">
        <f>IF(AND(Creditos!$C$11&lt;&gt;"",Creditos!$M$11="OK",48&lt;=Creditos!$H$11),Creditos!$C$11,"")</f>
        <v/>
      </c>
      <c r="D353" s="46" t="str">
        <f>IF(AND(Creditos!$C$11&lt;&gt;"",Creditos!$M$11="OK",48&lt;=Creditos!$H$11),48,"")</f>
        <v/>
      </c>
      <c r="E353" s="47" t="str">
        <f>IF(AND(Creditos!$C$11&lt;&gt;"",Creditos!$M$11="OK",48&lt;=Creditos!$H$11),EDATE(Creditos!$I$11,47),"")</f>
        <v/>
      </c>
      <c r="F353" s="48" t="str">
        <f>IF(AND(Creditos!$C$11&lt;&gt;"",Creditos!$M$11="OK",48&lt;=Creditos!$H$11),M352,"")</f>
        <v/>
      </c>
      <c r="G353" s="49" t="str">
        <f>IF(AND(Creditos!$C$11&lt;&gt;"",Creditos!$M$11="OK",48&lt;=Creditos!$H$11),Creditos!$N$11,"")</f>
        <v/>
      </c>
      <c r="H353" s="48" t="str">
        <f>IF(AND(Creditos!$C$11&lt;&gt;"",Creditos!$M$11="OK",48&lt;=Creditos!$H$11),ROUND(F353*G353,2),"")</f>
        <v/>
      </c>
      <c r="I353" s="48" t="str">
        <f>IF(AND(Creditos!$C$11&lt;&gt;"",Creditos!$M$11="OK",48&lt;=Creditos!$H$11),IF(48=Creditos!$H$11,F353+H353,MIN(Creditos!$O$11,F353+H353)),"")</f>
        <v/>
      </c>
      <c r="J353" s="48" t="str">
        <f>IF(AND(Creditos!$C$11&lt;&gt;"",Creditos!$M$11="OK",48&lt;=Creditos!$H$11),MIN(F353,MAX(0,I353-H353)),"")</f>
        <v/>
      </c>
      <c r="K353" s="48" t="str">
        <f>IF(AND(Creditos!$C$11&lt;&gt;"",Creditos!$M$11="OK",48&lt;=Creditos!$H$11),Creditos!$J$11+Creditos!$K$11,"")</f>
        <v/>
      </c>
      <c r="L353" s="48" t="str">
        <f>IF(AND(Creditos!$C$11&lt;&gt;"",Creditos!$M$11="OK",48&lt;=Creditos!$H$11),I353+K353,"")</f>
        <v/>
      </c>
      <c r="M353" s="48" t="str">
        <f>IF(AND(Creditos!$C$11&lt;&gt;"",Creditos!$M$11="OK",48&lt;=Creditos!$H$11),MAX(0,F353-J353),"")</f>
        <v/>
      </c>
      <c r="N353" s="48" t="str">
        <f>IF(AND(Creditos!$C$11&lt;&gt;"",Creditos!$M$11="OK",48&lt;=Creditos!$H$11),SUMIFS(Pagos!$F$6:$F$305,Pagos!$C$6:$C$305,C353,Pagos!$D$6:$D$305,D353,Pagos!$E$6:$E$305,"&lt;="&amp;Supuestos!$D$6,Pagos!$H$6:$H$305,"OK"),"")</f>
        <v/>
      </c>
      <c r="O353" s="48" t="str">
        <f>IF(AND(Creditos!$C$11&lt;&gt;"",Creditos!$M$11="OK",48&lt;=Creditos!$H$11),MIN(J353,MAX(0,N353-K353-H353)),"")</f>
        <v/>
      </c>
      <c r="P353" s="48" t="str">
        <f>IF(AND(Creditos!$C$11&lt;&gt;"",Creditos!$M$11="OK",48&lt;=Creditos!$H$11),MAX(0,L353-N353),"")</f>
        <v/>
      </c>
      <c r="Q353" s="50" t="str">
        <f>IF(AND(Creditos!$C$11&lt;&gt;"",Creditos!$M$11="OK",48&lt;=Creditos!$H$11),IF(AND(E353&lt;Supuestos!$D$6,P353&gt;0.005),Supuestos!$D$6-E353,0),"")</f>
        <v/>
      </c>
      <c r="R353" s="48" t="str">
        <f>IF(AND(Creditos!$C$11&lt;&gt;"",Creditos!$M$11="OK",48&lt;=Creditos!$H$11),MAX(0,N353-L353),"")</f>
        <v/>
      </c>
      <c r="S353" s="46" t="str">
        <f>IF(AND(Creditos!$C$11&lt;&gt;"",Creditos!$M$11="OK",48&lt;=Creditos!$H$11),IF(R353&gt;0.005,"Exceso sin imputar",IF(P353&lt;=0.005,"Pagada",IF(E353&lt;Supuestos!$D$6,"Vencida",IF(E353=Supuestos!$D$6,"Vence hoy","Por vencer")))),"")</f>
        <v/>
      </c>
      <c r="T353" s="46">
        <f>IF(AND(Creditos!$C$11&lt;&gt;"",Creditos!$M$11="OK",48&lt;=Creditos!$H$11),IF(P353&gt;0.005,E353,999999),999999)</f>
        <v>999999</v>
      </c>
    </row>
    <row r="354" ht="25.5" customHeight="1">
      <c r="C354" s="46" t="str">
        <f>IF(AND(Creditos!$C$11&lt;&gt;"",Creditos!$M$11="OK",49&lt;=Creditos!$H$11),Creditos!$C$11,"")</f>
        <v/>
      </c>
      <c r="D354" s="46" t="str">
        <f>IF(AND(Creditos!$C$11&lt;&gt;"",Creditos!$M$11="OK",49&lt;=Creditos!$H$11),49,"")</f>
        <v/>
      </c>
      <c r="E354" s="47" t="str">
        <f>IF(AND(Creditos!$C$11&lt;&gt;"",Creditos!$M$11="OK",49&lt;=Creditos!$H$11),EDATE(Creditos!$I$11,48),"")</f>
        <v/>
      </c>
      <c r="F354" s="48" t="str">
        <f>IF(AND(Creditos!$C$11&lt;&gt;"",Creditos!$M$11="OK",49&lt;=Creditos!$H$11),M353,"")</f>
        <v/>
      </c>
      <c r="G354" s="49" t="str">
        <f>IF(AND(Creditos!$C$11&lt;&gt;"",Creditos!$M$11="OK",49&lt;=Creditos!$H$11),Creditos!$N$11,"")</f>
        <v/>
      </c>
      <c r="H354" s="48" t="str">
        <f>IF(AND(Creditos!$C$11&lt;&gt;"",Creditos!$M$11="OK",49&lt;=Creditos!$H$11),ROUND(F354*G354,2),"")</f>
        <v/>
      </c>
      <c r="I354" s="48" t="str">
        <f>IF(AND(Creditos!$C$11&lt;&gt;"",Creditos!$M$11="OK",49&lt;=Creditos!$H$11),IF(49=Creditos!$H$11,F354+H354,MIN(Creditos!$O$11,F354+H354)),"")</f>
        <v/>
      </c>
      <c r="J354" s="48" t="str">
        <f>IF(AND(Creditos!$C$11&lt;&gt;"",Creditos!$M$11="OK",49&lt;=Creditos!$H$11),MIN(F354,MAX(0,I354-H354)),"")</f>
        <v/>
      </c>
      <c r="K354" s="48" t="str">
        <f>IF(AND(Creditos!$C$11&lt;&gt;"",Creditos!$M$11="OK",49&lt;=Creditos!$H$11),Creditos!$J$11+Creditos!$K$11,"")</f>
        <v/>
      </c>
      <c r="L354" s="48" t="str">
        <f>IF(AND(Creditos!$C$11&lt;&gt;"",Creditos!$M$11="OK",49&lt;=Creditos!$H$11),I354+K354,"")</f>
        <v/>
      </c>
      <c r="M354" s="48" t="str">
        <f>IF(AND(Creditos!$C$11&lt;&gt;"",Creditos!$M$11="OK",49&lt;=Creditos!$H$11),MAX(0,F354-J354),"")</f>
        <v/>
      </c>
      <c r="N354" s="48" t="str">
        <f>IF(AND(Creditos!$C$11&lt;&gt;"",Creditos!$M$11="OK",49&lt;=Creditos!$H$11),SUMIFS(Pagos!$F$6:$F$305,Pagos!$C$6:$C$305,C354,Pagos!$D$6:$D$305,D354,Pagos!$E$6:$E$305,"&lt;="&amp;Supuestos!$D$6,Pagos!$H$6:$H$305,"OK"),"")</f>
        <v/>
      </c>
      <c r="O354" s="48" t="str">
        <f>IF(AND(Creditos!$C$11&lt;&gt;"",Creditos!$M$11="OK",49&lt;=Creditos!$H$11),MIN(J354,MAX(0,N354-K354-H354)),"")</f>
        <v/>
      </c>
      <c r="P354" s="48" t="str">
        <f>IF(AND(Creditos!$C$11&lt;&gt;"",Creditos!$M$11="OK",49&lt;=Creditos!$H$11),MAX(0,L354-N354),"")</f>
        <v/>
      </c>
      <c r="Q354" s="50" t="str">
        <f>IF(AND(Creditos!$C$11&lt;&gt;"",Creditos!$M$11="OK",49&lt;=Creditos!$H$11),IF(AND(E354&lt;Supuestos!$D$6,P354&gt;0.005),Supuestos!$D$6-E354,0),"")</f>
        <v/>
      </c>
      <c r="R354" s="48" t="str">
        <f>IF(AND(Creditos!$C$11&lt;&gt;"",Creditos!$M$11="OK",49&lt;=Creditos!$H$11),MAX(0,N354-L354),"")</f>
        <v/>
      </c>
      <c r="S354" s="46" t="str">
        <f>IF(AND(Creditos!$C$11&lt;&gt;"",Creditos!$M$11="OK",49&lt;=Creditos!$H$11),IF(R354&gt;0.005,"Exceso sin imputar",IF(P354&lt;=0.005,"Pagada",IF(E354&lt;Supuestos!$D$6,"Vencida",IF(E354=Supuestos!$D$6,"Vence hoy","Por vencer")))),"")</f>
        <v/>
      </c>
      <c r="T354" s="46">
        <f>IF(AND(Creditos!$C$11&lt;&gt;"",Creditos!$M$11="OK",49&lt;=Creditos!$H$11),IF(P354&gt;0.005,E354,999999),999999)</f>
        <v>999999</v>
      </c>
    </row>
    <row r="355" ht="25.5" customHeight="1">
      <c r="C355" s="46" t="str">
        <f>IF(AND(Creditos!$C$11&lt;&gt;"",Creditos!$M$11="OK",50&lt;=Creditos!$H$11),Creditos!$C$11,"")</f>
        <v/>
      </c>
      <c r="D355" s="46" t="str">
        <f>IF(AND(Creditos!$C$11&lt;&gt;"",Creditos!$M$11="OK",50&lt;=Creditos!$H$11),50,"")</f>
        <v/>
      </c>
      <c r="E355" s="47" t="str">
        <f>IF(AND(Creditos!$C$11&lt;&gt;"",Creditos!$M$11="OK",50&lt;=Creditos!$H$11),EDATE(Creditos!$I$11,49),"")</f>
        <v/>
      </c>
      <c r="F355" s="48" t="str">
        <f>IF(AND(Creditos!$C$11&lt;&gt;"",Creditos!$M$11="OK",50&lt;=Creditos!$H$11),M354,"")</f>
        <v/>
      </c>
      <c r="G355" s="49" t="str">
        <f>IF(AND(Creditos!$C$11&lt;&gt;"",Creditos!$M$11="OK",50&lt;=Creditos!$H$11),Creditos!$N$11,"")</f>
        <v/>
      </c>
      <c r="H355" s="48" t="str">
        <f>IF(AND(Creditos!$C$11&lt;&gt;"",Creditos!$M$11="OK",50&lt;=Creditos!$H$11),ROUND(F355*G355,2),"")</f>
        <v/>
      </c>
      <c r="I355" s="48" t="str">
        <f>IF(AND(Creditos!$C$11&lt;&gt;"",Creditos!$M$11="OK",50&lt;=Creditos!$H$11),IF(50=Creditos!$H$11,F355+H355,MIN(Creditos!$O$11,F355+H355)),"")</f>
        <v/>
      </c>
      <c r="J355" s="48" t="str">
        <f>IF(AND(Creditos!$C$11&lt;&gt;"",Creditos!$M$11="OK",50&lt;=Creditos!$H$11),MIN(F355,MAX(0,I355-H355)),"")</f>
        <v/>
      </c>
      <c r="K355" s="48" t="str">
        <f>IF(AND(Creditos!$C$11&lt;&gt;"",Creditos!$M$11="OK",50&lt;=Creditos!$H$11),Creditos!$J$11+Creditos!$K$11,"")</f>
        <v/>
      </c>
      <c r="L355" s="48" t="str">
        <f>IF(AND(Creditos!$C$11&lt;&gt;"",Creditos!$M$11="OK",50&lt;=Creditos!$H$11),I355+K355,"")</f>
        <v/>
      </c>
      <c r="M355" s="48" t="str">
        <f>IF(AND(Creditos!$C$11&lt;&gt;"",Creditos!$M$11="OK",50&lt;=Creditos!$H$11),MAX(0,F355-J355),"")</f>
        <v/>
      </c>
      <c r="N355" s="48" t="str">
        <f>IF(AND(Creditos!$C$11&lt;&gt;"",Creditos!$M$11="OK",50&lt;=Creditos!$H$11),SUMIFS(Pagos!$F$6:$F$305,Pagos!$C$6:$C$305,C355,Pagos!$D$6:$D$305,D355,Pagos!$E$6:$E$305,"&lt;="&amp;Supuestos!$D$6,Pagos!$H$6:$H$305,"OK"),"")</f>
        <v/>
      </c>
      <c r="O355" s="48" t="str">
        <f>IF(AND(Creditos!$C$11&lt;&gt;"",Creditos!$M$11="OK",50&lt;=Creditos!$H$11),MIN(J355,MAX(0,N355-K355-H355)),"")</f>
        <v/>
      </c>
      <c r="P355" s="48" t="str">
        <f>IF(AND(Creditos!$C$11&lt;&gt;"",Creditos!$M$11="OK",50&lt;=Creditos!$H$11),MAX(0,L355-N355),"")</f>
        <v/>
      </c>
      <c r="Q355" s="50" t="str">
        <f>IF(AND(Creditos!$C$11&lt;&gt;"",Creditos!$M$11="OK",50&lt;=Creditos!$H$11),IF(AND(E355&lt;Supuestos!$D$6,P355&gt;0.005),Supuestos!$D$6-E355,0),"")</f>
        <v/>
      </c>
      <c r="R355" s="48" t="str">
        <f>IF(AND(Creditos!$C$11&lt;&gt;"",Creditos!$M$11="OK",50&lt;=Creditos!$H$11),MAX(0,N355-L355),"")</f>
        <v/>
      </c>
      <c r="S355" s="46" t="str">
        <f>IF(AND(Creditos!$C$11&lt;&gt;"",Creditos!$M$11="OK",50&lt;=Creditos!$H$11),IF(R355&gt;0.005,"Exceso sin imputar",IF(P355&lt;=0.005,"Pagada",IF(E355&lt;Supuestos!$D$6,"Vencida",IF(E355=Supuestos!$D$6,"Vence hoy","Por vencer")))),"")</f>
        <v/>
      </c>
      <c r="T355" s="46">
        <f>IF(AND(Creditos!$C$11&lt;&gt;"",Creditos!$M$11="OK",50&lt;=Creditos!$H$11),IF(P355&gt;0.005,E355,999999),999999)</f>
        <v>999999</v>
      </c>
    </row>
    <row r="356" ht="25.5" customHeight="1">
      <c r="C356" s="46" t="str">
        <f>IF(AND(Creditos!$C$11&lt;&gt;"",Creditos!$M$11="OK",51&lt;=Creditos!$H$11),Creditos!$C$11,"")</f>
        <v/>
      </c>
      <c r="D356" s="46" t="str">
        <f>IF(AND(Creditos!$C$11&lt;&gt;"",Creditos!$M$11="OK",51&lt;=Creditos!$H$11),51,"")</f>
        <v/>
      </c>
      <c r="E356" s="47" t="str">
        <f>IF(AND(Creditos!$C$11&lt;&gt;"",Creditos!$M$11="OK",51&lt;=Creditos!$H$11),EDATE(Creditos!$I$11,50),"")</f>
        <v/>
      </c>
      <c r="F356" s="48" t="str">
        <f>IF(AND(Creditos!$C$11&lt;&gt;"",Creditos!$M$11="OK",51&lt;=Creditos!$H$11),M355,"")</f>
        <v/>
      </c>
      <c r="G356" s="49" t="str">
        <f>IF(AND(Creditos!$C$11&lt;&gt;"",Creditos!$M$11="OK",51&lt;=Creditos!$H$11),Creditos!$N$11,"")</f>
        <v/>
      </c>
      <c r="H356" s="48" t="str">
        <f>IF(AND(Creditos!$C$11&lt;&gt;"",Creditos!$M$11="OK",51&lt;=Creditos!$H$11),ROUND(F356*G356,2),"")</f>
        <v/>
      </c>
      <c r="I356" s="48" t="str">
        <f>IF(AND(Creditos!$C$11&lt;&gt;"",Creditos!$M$11="OK",51&lt;=Creditos!$H$11),IF(51=Creditos!$H$11,F356+H356,MIN(Creditos!$O$11,F356+H356)),"")</f>
        <v/>
      </c>
      <c r="J356" s="48" t="str">
        <f>IF(AND(Creditos!$C$11&lt;&gt;"",Creditos!$M$11="OK",51&lt;=Creditos!$H$11),MIN(F356,MAX(0,I356-H356)),"")</f>
        <v/>
      </c>
      <c r="K356" s="48" t="str">
        <f>IF(AND(Creditos!$C$11&lt;&gt;"",Creditos!$M$11="OK",51&lt;=Creditos!$H$11),Creditos!$J$11+Creditos!$K$11,"")</f>
        <v/>
      </c>
      <c r="L356" s="48" t="str">
        <f>IF(AND(Creditos!$C$11&lt;&gt;"",Creditos!$M$11="OK",51&lt;=Creditos!$H$11),I356+K356,"")</f>
        <v/>
      </c>
      <c r="M356" s="48" t="str">
        <f>IF(AND(Creditos!$C$11&lt;&gt;"",Creditos!$M$11="OK",51&lt;=Creditos!$H$11),MAX(0,F356-J356),"")</f>
        <v/>
      </c>
      <c r="N356" s="48" t="str">
        <f>IF(AND(Creditos!$C$11&lt;&gt;"",Creditos!$M$11="OK",51&lt;=Creditos!$H$11),SUMIFS(Pagos!$F$6:$F$305,Pagos!$C$6:$C$305,C356,Pagos!$D$6:$D$305,D356,Pagos!$E$6:$E$305,"&lt;="&amp;Supuestos!$D$6,Pagos!$H$6:$H$305,"OK"),"")</f>
        <v/>
      </c>
      <c r="O356" s="48" t="str">
        <f>IF(AND(Creditos!$C$11&lt;&gt;"",Creditos!$M$11="OK",51&lt;=Creditos!$H$11),MIN(J356,MAX(0,N356-K356-H356)),"")</f>
        <v/>
      </c>
      <c r="P356" s="48" t="str">
        <f>IF(AND(Creditos!$C$11&lt;&gt;"",Creditos!$M$11="OK",51&lt;=Creditos!$H$11),MAX(0,L356-N356),"")</f>
        <v/>
      </c>
      <c r="Q356" s="50" t="str">
        <f>IF(AND(Creditos!$C$11&lt;&gt;"",Creditos!$M$11="OK",51&lt;=Creditos!$H$11),IF(AND(E356&lt;Supuestos!$D$6,P356&gt;0.005),Supuestos!$D$6-E356,0),"")</f>
        <v/>
      </c>
      <c r="R356" s="48" t="str">
        <f>IF(AND(Creditos!$C$11&lt;&gt;"",Creditos!$M$11="OK",51&lt;=Creditos!$H$11),MAX(0,N356-L356),"")</f>
        <v/>
      </c>
      <c r="S356" s="46" t="str">
        <f>IF(AND(Creditos!$C$11&lt;&gt;"",Creditos!$M$11="OK",51&lt;=Creditos!$H$11),IF(R356&gt;0.005,"Exceso sin imputar",IF(P356&lt;=0.005,"Pagada",IF(E356&lt;Supuestos!$D$6,"Vencida",IF(E356=Supuestos!$D$6,"Vence hoy","Por vencer")))),"")</f>
        <v/>
      </c>
      <c r="T356" s="46">
        <f>IF(AND(Creditos!$C$11&lt;&gt;"",Creditos!$M$11="OK",51&lt;=Creditos!$H$11),IF(P356&gt;0.005,E356,999999),999999)</f>
        <v>999999</v>
      </c>
    </row>
    <row r="357" ht="25.5" customHeight="1">
      <c r="C357" s="46" t="str">
        <f>IF(AND(Creditos!$C$11&lt;&gt;"",Creditos!$M$11="OK",52&lt;=Creditos!$H$11),Creditos!$C$11,"")</f>
        <v/>
      </c>
      <c r="D357" s="46" t="str">
        <f>IF(AND(Creditos!$C$11&lt;&gt;"",Creditos!$M$11="OK",52&lt;=Creditos!$H$11),52,"")</f>
        <v/>
      </c>
      <c r="E357" s="47" t="str">
        <f>IF(AND(Creditos!$C$11&lt;&gt;"",Creditos!$M$11="OK",52&lt;=Creditos!$H$11),EDATE(Creditos!$I$11,51),"")</f>
        <v/>
      </c>
      <c r="F357" s="48" t="str">
        <f>IF(AND(Creditos!$C$11&lt;&gt;"",Creditos!$M$11="OK",52&lt;=Creditos!$H$11),M356,"")</f>
        <v/>
      </c>
      <c r="G357" s="49" t="str">
        <f>IF(AND(Creditos!$C$11&lt;&gt;"",Creditos!$M$11="OK",52&lt;=Creditos!$H$11),Creditos!$N$11,"")</f>
        <v/>
      </c>
      <c r="H357" s="48" t="str">
        <f>IF(AND(Creditos!$C$11&lt;&gt;"",Creditos!$M$11="OK",52&lt;=Creditos!$H$11),ROUND(F357*G357,2),"")</f>
        <v/>
      </c>
      <c r="I357" s="48" t="str">
        <f>IF(AND(Creditos!$C$11&lt;&gt;"",Creditos!$M$11="OK",52&lt;=Creditos!$H$11),IF(52=Creditos!$H$11,F357+H357,MIN(Creditos!$O$11,F357+H357)),"")</f>
        <v/>
      </c>
      <c r="J357" s="48" t="str">
        <f>IF(AND(Creditos!$C$11&lt;&gt;"",Creditos!$M$11="OK",52&lt;=Creditos!$H$11),MIN(F357,MAX(0,I357-H357)),"")</f>
        <v/>
      </c>
      <c r="K357" s="48" t="str">
        <f>IF(AND(Creditos!$C$11&lt;&gt;"",Creditos!$M$11="OK",52&lt;=Creditos!$H$11),Creditos!$J$11+Creditos!$K$11,"")</f>
        <v/>
      </c>
      <c r="L357" s="48" t="str">
        <f>IF(AND(Creditos!$C$11&lt;&gt;"",Creditos!$M$11="OK",52&lt;=Creditos!$H$11),I357+K357,"")</f>
        <v/>
      </c>
      <c r="M357" s="48" t="str">
        <f>IF(AND(Creditos!$C$11&lt;&gt;"",Creditos!$M$11="OK",52&lt;=Creditos!$H$11),MAX(0,F357-J357),"")</f>
        <v/>
      </c>
      <c r="N357" s="48" t="str">
        <f>IF(AND(Creditos!$C$11&lt;&gt;"",Creditos!$M$11="OK",52&lt;=Creditos!$H$11),SUMIFS(Pagos!$F$6:$F$305,Pagos!$C$6:$C$305,C357,Pagos!$D$6:$D$305,D357,Pagos!$E$6:$E$305,"&lt;="&amp;Supuestos!$D$6,Pagos!$H$6:$H$305,"OK"),"")</f>
        <v/>
      </c>
      <c r="O357" s="48" t="str">
        <f>IF(AND(Creditos!$C$11&lt;&gt;"",Creditos!$M$11="OK",52&lt;=Creditos!$H$11),MIN(J357,MAX(0,N357-K357-H357)),"")</f>
        <v/>
      </c>
      <c r="P357" s="48" t="str">
        <f>IF(AND(Creditos!$C$11&lt;&gt;"",Creditos!$M$11="OK",52&lt;=Creditos!$H$11),MAX(0,L357-N357),"")</f>
        <v/>
      </c>
      <c r="Q357" s="50" t="str">
        <f>IF(AND(Creditos!$C$11&lt;&gt;"",Creditos!$M$11="OK",52&lt;=Creditos!$H$11),IF(AND(E357&lt;Supuestos!$D$6,P357&gt;0.005),Supuestos!$D$6-E357,0),"")</f>
        <v/>
      </c>
      <c r="R357" s="48" t="str">
        <f>IF(AND(Creditos!$C$11&lt;&gt;"",Creditos!$M$11="OK",52&lt;=Creditos!$H$11),MAX(0,N357-L357),"")</f>
        <v/>
      </c>
      <c r="S357" s="46" t="str">
        <f>IF(AND(Creditos!$C$11&lt;&gt;"",Creditos!$M$11="OK",52&lt;=Creditos!$H$11),IF(R357&gt;0.005,"Exceso sin imputar",IF(P357&lt;=0.005,"Pagada",IF(E357&lt;Supuestos!$D$6,"Vencida",IF(E357=Supuestos!$D$6,"Vence hoy","Por vencer")))),"")</f>
        <v/>
      </c>
      <c r="T357" s="46">
        <f>IF(AND(Creditos!$C$11&lt;&gt;"",Creditos!$M$11="OK",52&lt;=Creditos!$H$11),IF(P357&gt;0.005,E357,999999),999999)</f>
        <v>999999</v>
      </c>
    </row>
    <row r="358" ht="25.5" customHeight="1">
      <c r="C358" s="46" t="str">
        <f>IF(AND(Creditos!$C$11&lt;&gt;"",Creditos!$M$11="OK",53&lt;=Creditos!$H$11),Creditos!$C$11,"")</f>
        <v/>
      </c>
      <c r="D358" s="46" t="str">
        <f>IF(AND(Creditos!$C$11&lt;&gt;"",Creditos!$M$11="OK",53&lt;=Creditos!$H$11),53,"")</f>
        <v/>
      </c>
      <c r="E358" s="47" t="str">
        <f>IF(AND(Creditos!$C$11&lt;&gt;"",Creditos!$M$11="OK",53&lt;=Creditos!$H$11),EDATE(Creditos!$I$11,52),"")</f>
        <v/>
      </c>
      <c r="F358" s="48" t="str">
        <f>IF(AND(Creditos!$C$11&lt;&gt;"",Creditos!$M$11="OK",53&lt;=Creditos!$H$11),M357,"")</f>
        <v/>
      </c>
      <c r="G358" s="49" t="str">
        <f>IF(AND(Creditos!$C$11&lt;&gt;"",Creditos!$M$11="OK",53&lt;=Creditos!$H$11),Creditos!$N$11,"")</f>
        <v/>
      </c>
      <c r="H358" s="48" t="str">
        <f>IF(AND(Creditos!$C$11&lt;&gt;"",Creditos!$M$11="OK",53&lt;=Creditos!$H$11),ROUND(F358*G358,2),"")</f>
        <v/>
      </c>
      <c r="I358" s="48" t="str">
        <f>IF(AND(Creditos!$C$11&lt;&gt;"",Creditos!$M$11="OK",53&lt;=Creditos!$H$11),IF(53=Creditos!$H$11,F358+H358,MIN(Creditos!$O$11,F358+H358)),"")</f>
        <v/>
      </c>
      <c r="J358" s="48" t="str">
        <f>IF(AND(Creditos!$C$11&lt;&gt;"",Creditos!$M$11="OK",53&lt;=Creditos!$H$11),MIN(F358,MAX(0,I358-H358)),"")</f>
        <v/>
      </c>
      <c r="K358" s="48" t="str">
        <f>IF(AND(Creditos!$C$11&lt;&gt;"",Creditos!$M$11="OK",53&lt;=Creditos!$H$11),Creditos!$J$11+Creditos!$K$11,"")</f>
        <v/>
      </c>
      <c r="L358" s="48" t="str">
        <f>IF(AND(Creditos!$C$11&lt;&gt;"",Creditos!$M$11="OK",53&lt;=Creditos!$H$11),I358+K358,"")</f>
        <v/>
      </c>
      <c r="M358" s="48" t="str">
        <f>IF(AND(Creditos!$C$11&lt;&gt;"",Creditos!$M$11="OK",53&lt;=Creditos!$H$11),MAX(0,F358-J358),"")</f>
        <v/>
      </c>
      <c r="N358" s="48" t="str">
        <f>IF(AND(Creditos!$C$11&lt;&gt;"",Creditos!$M$11="OK",53&lt;=Creditos!$H$11),SUMIFS(Pagos!$F$6:$F$305,Pagos!$C$6:$C$305,C358,Pagos!$D$6:$D$305,D358,Pagos!$E$6:$E$305,"&lt;="&amp;Supuestos!$D$6,Pagos!$H$6:$H$305,"OK"),"")</f>
        <v/>
      </c>
      <c r="O358" s="48" t="str">
        <f>IF(AND(Creditos!$C$11&lt;&gt;"",Creditos!$M$11="OK",53&lt;=Creditos!$H$11),MIN(J358,MAX(0,N358-K358-H358)),"")</f>
        <v/>
      </c>
      <c r="P358" s="48" t="str">
        <f>IF(AND(Creditos!$C$11&lt;&gt;"",Creditos!$M$11="OK",53&lt;=Creditos!$H$11),MAX(0,L358-N358),"")</f>
        <v/>
      </c>
      <c r="Q358" s="50" t="str">
        <f>IF(AND(Creditos!$C$11&lt;&gt;"",Creditos!$M$11="OK",53&lt;=Creditos!$H$11),IF(AND(E358&lt;Supuestos!$D$6,P358&gt;0.005),Supuestos!$D$6-E358,0),"")</f>
        <v/>
      </c>
      <c r="R358" s="48" t="str">
        <f>IF(AND(Creditos!$C$11&lt;&gt;"",Creditos!$M$11="OK",53&lt;=Creditos!$H$11),MAX(0,N358-L358),"")</f>
        <v/>
      </c>
      <c r="S358" s="46" t="str">
        <f>IF(AND(Creditos!$C$11&lt;&gt;"",Creditos!$M$11="OK",53&lt;=Creditos!$H$11),IF(R358&gt;0.005,"Exceso sin imputar",IF(P358&lt;=0.005,"Pagada",IF(E358&lt;Supuestos!$D$6,"Vencida",IF(E358=Supuestos!$D$6,"Vence hoy","Por vencer")))),"")</f>
        <v/>
      </c>
      <c r="T358" s="46">
        <f>IF(AND(Creditos!$C$11&lt;&gt;"",Creditos!$M$11="OK",53&lt;=Creditos!$H$11),IF(P358&gt;0.005,E358,999999),999999)</f>
        <v>999999</v>
      </c>
    </row>
    <row r="359" ht="25.5" customHeight="1">
      <c r="C359" s="46" t="str">
        <f>IF(AND(Creditos!$C$11&lt;&gt;"",Creditos!$M$11="OK",54&lt;=Creditos!$H$11),Creditos!$C$11,"")</f>
        <v/>
      </c>
      <c r="D359" s="46" t="str">
        <f>IF(AND(Creditos!$C$11&lt;&gt;"",Creditos!$M$11="OK",54&lt;=Creditos!$H$11),54,"")</f>
        <v/>
      </c>
      <c r="E359" s="47" t="str">
        <f>IF(AND(Creditos!$C$11&lt;&gt;"",Creditos!$M$11="OK",54&lt;=Creditos!$H$11),EDATE(Creditos!$I$11,53),"")</f>
        <v/>
      </c>
      <c r="F359" s="48" t="str">
        <f>IF(AND(Creditos!$C$11&lt;&gt;"",Creditos!$M$11="OK",54&lt;=Creditos!$H$11),M358,"")</f>
        <v/>
      </c>
      <c r="G359" s="49" t="str">
        <f>IF(AND(Creditos!$C$11&lt;&gt;"",Creditos!$M$11="OK",54&lt;=Creditos!$H$11),Creditos!$N$11,"")</f>
        <v/>
      </c>
      <c r="H359" s="48" t="str">
        <f>IF(AND(Creditos!$C$11&lt;&gt;"",Creditos!$M$11="OK",54&lt;=Creditos!$H$11),ROUND(F359*G359,2),"")</f>
        <v/>
      </c>
      <c r="I359" s="48" t="str">
        <f>IF(AND(Creditos!$C$11&lt;&gt;"",Creditos!$M$11="OK",54&lt;=Creditos!$H$11),IF(54=Creditos!$H$11,F359+H359,MIN(Creditos!$O$11,F359+H359)),"")</f>
        <v/>
      </c>
      <c r="J359" s="48" t="str">
        <f>IF(AND(Creditos!$C$11&lt;&gt;"",Creditos!$M$11="OK",54&lt;=Creditos!$H$11),MIN(F359,MAX(0,I359-H359)),"")</f>
        <v/>
      </c>
      <c r="K359" s="48" t="str">
        <f>IF(AND(Creditos!$C$11&lt;&gt;"",Creditos!$M$11="OK",54&lt;=Creditos!$H$11),Creditos!$J$11+Creditos!$K$11,"")</f>
        <v/>
      </c>
      <c r="L359" s="48" t="str">
        <f>IF(AND(Creditos!$C$11&lt;&gt;"",Creditos!$M$11="OK",54&lt;=Creditos!$H$11),I359+K359,"")</f>
        <v/>
      </c>
      <c r="M359" s="48" t="str">
        <f>IF(AND(Creditos!$C$11&lt;&gt;"",Creditos!$M$11="OK",54&lt;=Creditos!$H$11),MAX(0,F359-J359),"")</f>
        <v/>
      </c>
      <c r="N359" s="48" t="str">
        <f>IF(AND(Creditos!$C$11&lt;&gt;"",Creditos!$M$11="OK",54&lt;=Creditos!$H$11),SUMIFS(Pagos!$F$6:$F$305,Pagos!$C$6:$C$305,C359,Pagos!$D$6:$D$305,D359,Pagos!$E$6:$E$305,"&lt;="&amp;Supuestos!$D$6,Pagos!$H$6:$H$305,"OK"),"")</f>
        <v/>
      </c>
      <c r="O359" s="48" t="str">
        <f>IF(AND(Creditos!$C$11&lt;&gt;"",Creditos!$M$11="OK",54&lt;=Creditos!$H$11),MIN(J359,MAX(0,N359-K359-H359)),"")</f>
        <v/>
      </c>
      <c r="P359" s="48" t="str">
        <f>IF(AND(Creditos!$C$11&lt;&gt;"",Creditos!$M$11="OK",54&lt;=Creditos!$H$11),MAX(0,L359-N359),"")</f>
        <v/>
      </c>
      <c r="Q359" s="50" t="str">
        <f>IF(AND(Creditos!$C$11&lt;&gt;"",Creditos!$M$11="OK",54&lt;=Creditos!$H$11),IF(AND(E359&lt;Supuestos!$D$6,P359&gt;0.005),Supuestos!$D$6-E359,0),"")</f>
        <v/>
      </c>
      <c r="R359" s="48" t="str">
        <f>IF(AND(Creditos!$C$11&lt;&gt;"",Creditos!$M$11="OK",54&lt;=Creditos!$H$11),MAX(0,N359-L359),"")</f>
        <v/>
      </c>
      <c r="S359" s="46" t="str">
        <f>IF(AND(Creditos!$C$11&lt;&gt;"",Creditos!$M$11="OK",54&lt;=Creditos!$H$11),IF(R359&gt;0.005,"Exceso sin imputar",IF(P359&lt;=0.005,"Pagada",IF(E359&lt;Supuestos!$D$6,"Vencida",IF(E359=Supuestos!$D$6,"Vence hoy","Por vencer")))),"")</f>
        <v/>
      </c>
      <c r="T359" s="46">
        <f>IF(AND(Creditos!$C$11&lt;&gt;"",Creditos!$M$11="OK",54&lt;=Creditos!$H$11),IF(P359&gt;0.005,E359,999999),999999)</f>
        <v>999999</v>
      </c>
    </row>
    <row r="360" ht="25.5" customHeight="1">
      <c r="C360" s="46" t="str">
        <f>IF(AND(Creditos!$C$11&lt;&gt;"",Creditos!$M$11="OK",55&lt;=Creditos!$H$11),Creditos!$C$11,"")</f>
        <v/>
      </c>
      <c r="D360" s="46" t="str">
        <f>IF(AND(Creditos!$C$11&lt;&gt;"",Creditos!$M$11="OK",55&lt;=Creditos!$H$11),55,"")</f>
        <v/>
      </c>
      <c r="E360" s="47" t="str">
        <f>IF(AND(Creditos!$C$11&lt;&gt;"",Creditos!$M$11="OK",55&lt;=Creditos!$H$11),EDATE(Creditos!$I$11,54),"")</f>
        <v/>
      </c>
      <c r="F360" s="48" t="str">
        <f>IF(AND(Creditos!$C$11&lt;&gt;"",Creditos!$M$11="OK",55&lt;=Creditos!$H$11),M359,"")</f>
        <v/>
      </c>
      <c r="G360" s="49" t="str">
        <f>IF(AND(Creditos!$C$11&lt;&gt;"",Creditos!$M$11="OK",55&lt;=Creditos!$H$11),Creditos!$N$11,"")</f>
        <v/>
      </c>
      <c r="H360" s="48" t="str">
        <f>IF(AND(Creditos!$C$11&lt;&gt;"",Creditos!$M$11="OK",55&lt;=Creditos!$H$11),ROUND(F360*G360,2),"")</f>
        <v/>
      </c>
      <c r="I360" s="48" t="str">
        <f>IF(AND(Creditos!$C$11&lt;&gt;"",Creditos!$M$11="OK",55&lt;=Creditos!$H$11),IF(55=Creditos!$H$11,F360+H360,MIN(Creditos!$O$11,F360+H360)),"")</f>
        <v/>
      </c>
      <c r="J360" s="48" t="str">
        <f>IF(AND(Creditos!$C$11&lt;&gt;"",Creditos!$M$11="OK",55&lt;=Creditos!$H$11),MIN(F360,MAX(0,I360-H360)),"")</f>
        <v/>
      </c>
      <c r="K360" s="48" t="str">
        <f>IF(AND(Creditos!$C$11&lt;&gt;"",Creditos!$M$11="OK",55&lt;=Creditos!$H$11),Creditos!$J$11+Creditos!$K$11,"")</f>
        <v/>
      </c>
      <c r="L360" s="48" t="str">
        <f>IF(AND(Creditos!$C$11&lt;&gt;"",Creditos!$M$11="OK",55&lt;=Creditos!$H$11),I360+K360,"")</f>
        <v/>
      </c>
      <c r="M360" s="48" t="str">
        <f>IF(AND(Creditos!$C$11&lt;&gt;"",Creditos!$M$11="OK",55&lt;=Creditos!$H$11),MAX(0,F360-J360),"")</f>
        <v/>
      </c>
      <c r="N360" s="48" t="str">
        <f>IF(AND(Creditos!$C$11&lt;&gt;"",Creditos!$M$11="OK",55&lt;=Creditos!$H$11),SUMIFS(Pagos!$F$6:$F$305,Pagos!$C$6:$C$305,C360,Pagos!$D$6:$D$305,D360,Pagos!$E$6:$E$305,"&lt;="&amp;Supuestos!$D$6,Pagos!$H$6:$H$305,"OK"),"")</f>
        <v/>
      </c>
      <c r="O360" s="48" t="str">
        <f>IF(AND(Creditos!$C$11&lt;&gt;"",Creditos!$M$11="OK",55&lt;=Creditos!$H$11),MIN(J360,MAX(0,N360-K360-H360)),"")</f>
        <v/>
      </c>
      <c r="P360" s="48" t="str">
        <f>IF(AND(Creditos!$C$11&lt;&gt;"",Creditos!$M$11="OK",55&lt;=Creditos!$H$11),MAX(0,L360-N360),"")</f>
        <v/>
      </c>
      <c r="Q360" s="50" t="str">
        <f>IF(AND(Creditos!$C$11&lt;&gt;"",Creditos!$M$11="OK",55&lt;=Creditos!$H$11),IF(AND(E360&lt;Supuestos!$D$6,P360&gt;0.005),Supuestos!$D$6-E360,0),"")</f>
        <v/>
      </c>
      <c r="R360" s="48" t="str">
        <f>IF(AND(Creditos!$C$11&lt;&gt;"",Creditos!$M$11="OK",55&lt;=Creditos!$H$11),MAX(0,N360-L360),"")</f>
        <v/>
      </c>
      <c r="S360" s="46" t="str">
        <f>IF(AND(Creditos!$C$11&lt;&gt;"",Creditos!$M$11="OK",55&lt;=Creditos!$H$11),IF(R360&gt;0.005,"Exceso sin imputar",IF(P360&lt;=0.005,"Pagada",IF(E360&lt;Supuestos!$D$6,"Vencida",IF(E360=Supuestos!$D$6,"Vence hoy","Por vencer")))),"")</f>
        <v/>
      </c>
      <c r="T360" s="46">
        <f>IF(AND(Creditos!$C$11&lt;&gt;"",Creditos!$M$11="OK",55&lt;=Creditos!$H$11),IF(P360&gt;0.005,E360,999999),999999)</f>
        <v>999999</v>
      </c>
    </row>
    <row r="361" ht="25.5" customHeight="1">
      <c r="C361" s="46" t="str">
        <f>IF(AND(Creditos!$C$11&lt;&gt;"",Creditos!$M$11="OK",56&lt;=Creditos!$H$11),Creditos!$C$11,"")</f>
        <v/>
      </c>
      <c r="D361" s="46" t="str">
        <f>IF(AND(Creditos!$C$11&lt;&gt;"",Creditos!$M$11="OK",56&lt;=Creditos!$H$11),56,"")</f>
        <v/>
      </c>
      <c r="E361" s="47" t="str">
        <f>IF(AND(Creditos!$C$11&lt;&gt;"",Creditos!$M$11="OK",56&lt;=Creditos!$H$11),EDATE(Creditos!$I$11,55),"")</f>
        <v/>
      </c>
      <c r="F361" s="48" t="str">
        <f>IF(AND(Creditos!$C$11&lt;&gt;"",Creditos!$M$11="OK",56&lt;=Creditos!$H$11),M360,"")</f>
        <v/>
      </c>
      <c r="G361" s="49" t="str">
        <f>IF(AND(Creditos!$C$11&lt;&gt;"",Creditos!$M$11="OK",56&lt;=Creditos!$H$11),Creditos!$N$11,"")</f>
        <v/>
      </c>
      <c r="H361" s="48" t="str">
        <f>IF(AND(Creditos!$C$11&lt;&gt;"",Creditos!$M$11="OK",56&lt;=Creditos!$H$11),ROUND(F361*G361,2),"")</f>
        <v/>
      </c>
      <c r="I361" s="48" t="str">
        <f>IF(AND(Creditos!$C$11&lt;&gt;"",Creditos!$M$11="OK",56&lt;=Creditos!$H$11),IF(56=Creditos!$H$11,F361+H361,MIN(Creditos!$O$11,F361+H361)),"")</f>
        <v/>
      </c>
      <c r="J361" s="48" t="str">
        <f>IF(AND(Creditos!$C$11&lt;&gt;"",Creditos!$M$11="OK",56&lt;=Creditos!$H$11),MIN(F361,MAX(0,I361-H361)),"")</f>
        <v/>
      </c>
      <c r="K361" s="48" t="str">
        <f>IF(AND(Creditos!$C$11&lt;&gt;"",Creditos!$M$11="OK",56&lt;=Creditos!$H$11),Creditos!$J$11+Creditos!$K$11,"")</f>
        <v/>
      </c>
      <c r="L361" s="48" t="str">
        <f>IF(AND(Creditos!$C$11&lt;&gt;"",Creditos!$M$11="OK",56&lt;=Creditos!$H$11),I361+K361,"")</f>
        <v/>
      </c>
      <c r="M361" s="48" t="str">
        <f>IF(AND(Creditos!$C$11&lt;&gt;"",Creditos!$M$11="OK",56&lt;=Creditos!$H$11),MAX(0,F361-J361),"")</f>
        <v/>
      </c>
      <c r="N361" s="48" t="str">
        <f>IF(AND(Creditos!$C$11&lt;&gt;"",Creditos!$M$11="OK",56&lt;=Creditos!$H$11),SUMIFS(Pagos!$F$6:$F$305,Pagos!$C$6:$C$305,C361,Pagos!$D$6:$D$305,D361,Pagos!$E$6:$E$305,"&lt;="&amp;Supuestos!$D$6,Pagos!$H$6:$H$305,"OK"),"")</f>
        <v/>
      </c>
      <c r="O361" s="48" t="str">
        <f>IF(AND(Creditos!$C$11&lt;&gt;"",Creditos!$M$11="OK",56&lt;=Creditos!$H$11),MIN(J361,MAX(0,N361-K361-H361)),"")</f>
        <v/>
      </c>
      <c r="P361" s="48" t="str">
        <f>IF(AND(Creditos!$C$11&lt;&gt;"",Creditos!$M$11="OK",56&lt;=Creditos!$H$11),MAX(0,L361-N361),"")</f>
        <v/>
      </c>
      <c r="Q361" s="50" t="str">
        <f>IF(AND(Creditos!$C$11&lt;&gt;"",Creditos!$M$11="OK",56&lt;=Creditos!$H$11),IF(AND(E361&lt;Supuestos!$D$6,P361&gt;0.005),Supuestos!$D$6-E361,0),"")</f>
        <v/>
      </c>
      <c r="R361" s="48" t="str">
        <f>IF(AND(Creditos!$C$11&lt;&gt;"",Creditos!$M$11="OK",56&lt;=Creditos!$H$11),MAX(0,N361-L361),"")</f>
        <v/>
      </c>
      <c r="S361" s="46" t="str">
        <f>IF(AND(Creditos!$C$11&lt;&gt;"",Creditos!$M$11="OK",56&lt;=Creditos!$H$11),IF(R361&gt;0.005,"Exceso sin imputar",IF(P361&lt;=0.005,"Pagada",IF(E361&lt;Supuestos!$D$6,"Vencida",IF(E361=Supuestos!$D$6,"Vence hoy","Por vencer")))),"")</f>
        <v/>
      </c>
      <c r="T361" s="46">
        <f>IF(AND(Creditos!$C$11&lt;&gt;"",Creditos!$M$11="OK",56&lt;=Creditos!$H$11),IF(P361&gt;0.005,E361,999999),999999)</f>
        <v>999999</v>
      </c>
    </row>
    <row r="362" ht="25.5" customHeight="1">
      <c r="C362" s="46" t="str">
        <f>IF(AND(Creditos!$C$11&lt;&gt;"",Creditos!$M$11="OK",57&lt;=Creditos!$H$11),Creditos!$C$11,"")</f>
        <v/>
      </c>
      <c r="D362" s="46" t="str">
        <f>IF(AND(Creditos!$C$11&lt;&gt;"",Creditos!$M$11="OK",57&lt;=Creditos!$H$11),57,"")</f>
        <v/>
      </c>
      <c r="E362" s="47" t="str">
        <f>IF(AND(Creditos!$C$11&lt;&gt;"",Creditos!$M$11="OK",57&lt;=Creditos!$H$11),EDATE(Creditos!$I$11,56),"")</f>
        <v/>
      </c>
      <c r="F362" s="48" t="str">
        <f>IF(AND(Creditos!$C$11&lt;&gt;"",Creditos!$M$11="OK",57&lt;=Creditos!$H$11),M361,"")</f>
        <v/>
      </c>
      <c r="G362" s="49" t="str">
        <f>IF(AND(Creditos!$C$11&lt;&gt;"",Creditos!$M$11="OK",57&lt;=Creditos!$H$11),Creditos!$N$11,"")</f>
        <v/>
      </c>
      <c r="H362" s="48" t="str">
        <f>IF(AND(Creditos!$C$11&lt;&gt;"",Creditos!$M$11="OK",57&lt;=Creditos!$H$11),ROUND(F362*G362,2),"")</f>
        <v/>
      </c>
      <c r="I362" s="48" t="str">
        <f>IF(AND(Creditos!$C$11&lt;&gt;"",Creditos!$M$11="OK",57&lt;=Creditos!$H$11),IF(57=Creditos!$H$11,F362+H362,MIN(Creditos!$O$11,F362+H362)),"")</f>
        <v/>
      </c>
      <c r="J362" s="48" t="str">
        <f>IF(AND(Creditos!$C$11&lt;&gt;"",Creditos!$M$11="OK",57&lt;=Creditos!$H$11),MIN(F362,MAX(0,I362-H362)),"")</f>
        <v/>
      </c>
      <c r="K362" s="48" t="str">
        <f>IF(AND(Creditos!$C$11&lt;&gt;"",Creditos!$M$11="OK",57&lt;=Creditos!$H$11),Creditos!$J$11+Creditos!$K$11,"")</f>
        <v/>
      </c>
      <c r="L362" s="48" t="str">
        <f>IF(AND(Creditos!$C$11&lt;&gt;"",Creditos!$M$11="OK",57&lt;=Creditos!$H$11),I362+K362,"")</f>
        <v/>
      </c>
      <c r="M362" s="48" t="str">
        <f>IF(AND(Creditos!$C$11&lt;&gt;"",Creditos!$M$11="OK",57&lt;=Creditos!$H$11),MAX(0,F362-J362),"")</f>
        <v/>
      </c>
      <c r="N362" s="48" t="str">
        <f>IF(AND(Creditos!$C$11&lt;&gt;"",Creditos!$M$11="OK",57&lt;=Creditos!$H$11),SUMIFS(Pagos!$F$6:$F$305,Pagos!$C$6:$C$305,C362,Pagos!$D$6:$D$305,D362,Pagos!$E$6:$E$305,"&lt;="&amp;Supuestos!$D$6,Pagos!$H$6:$H$305,"OK"),"")</f>
        <v/>
      </c>
      <c r="O362" s="48" t="str">
        <f>IF(AND(Creditos!$C$11&lt;&gt;"",Creditos!$M$11="OK",57&lt;=Creditos!$H$11),MIN(J362,MAX(0,N362-K362-H362)),"")</f>
        <v/>
      </c>
      <c r="P362" s="48" t="str">
        <f>IF(AND(Creditos!$C$11&lt;&gt;"",Creditos!$M$11="OK",57&lt;=Creditos!$H$11),MAX(0,L362-N362),"")</f>
        <v/>
      </c>
      <c r="Q362" s="50" t="str">
        <f>IF(AND(Creditos!$C$11&lt;&gt;"",Creditos!$M$11="OK",57&lt;=Creditos!$H$11),IF(AND(E362&lt;Supuestos!$D$6,P362&gt;0.005),Supuestos!$D$6-E362,0),"")</f>
        <v/>
      </c>
      <c r="R362" s="48" t="str">
        <f>IF(AND(Creditos!$C$11&lt;&gt;"",Creditos!$M$11="OK",57&lt;=Creditos!$H$11),MAX(0,N362-L362),"")</f>
        <v/>
      </c>
      <c r="S362" s="46" t="str">
        <f>IF(AND(Creditos!$C$11&lt;&gt;"",Creditos!$M$11="OK",57&lt;=Creditos!$H$11),IF(R362&gt;0.005,"Exceso sin imputar",IF(P362&lt;=0.005,"Pagada",IF(E362&lt;Supuestos!$D$6,"Vencida",IF(E362=Supuestos!$D$6,"Vence hoy","Por vencer")))),"")</f>
        <v/>
      </c>
      <c r="T362" s="46">
        <f>IF(AND(Creditos!$C$11&lt;&gt;"",Creditos!$M$11="OK",57&lt;=Creditos!$H$11),IF(P362&gt;0.005,E362,999999),999999)</f>
        <v>999999</v>
      </c>
    </row>
    <row r="363" ht="25.5" customHeight="1">
      <c r="C363" s="46" t="str">
        <f>IF(AND(Creditos!$C$11&lt;&gt;"",Creditos!$M$11="OK",58&lt;=Creditos!$H$11),Creditos!$C$11,"")</f>
        <v/>
      </c>
      <c r="D363" s="46" t="str">
        <f>IF(AND(Creditos!$C$11&lt;&gt;"",Creditos!$M$11="OK",58&lt;=Creditos!$H$11),58,"")</f>
        <v/>
      </c>
      <c r="E363" s="47" t="str">
        <f>IF(AND(Creditos!$C$11&lt;&gt;"",Creditos!$M$11="OK",58&lt;=Creditos!$H$11),EDATE(Creditos!$I$11,57),"")</f>
        <v/>
      </c>
      <c r="F363" s="48" t="str">
        <f>IF(AND(Creditos!$C$11&lt;&gt;"",Creditos!$M$11="OK",58&lt;=Creditos!$H$11),M362,"")</f>
        <v/>
      </c>
      <c r="G363" s="49" t="str">
        <f>IF(AND(Creditos!$C$11&lt;&gt;"",Creditos!$M$11="OK",58&lt;=Creditos!$H$11),Creditos!$N$11,"")</f>
        <v/>
      </c>
      <c r="H363" s="48" t="str">
        <f>IF(AND(Creditos!$C$11&lt;&gt;"",Creditos!$M$11="OK",58&lt;=Creditos!$H$11),ROUND(F363*G363,2),"")</f>
        <v/>
      </c>
      <c r="I363" s="48" t="str">
        <f>IF(AND(Creditos!$C$11&lt;&gt;"",Creditos!$M$11="OK",58&lt;=Creditos!$H$11),IF(58=Creditos!$H$11,F363+H363,MIN(Creditos!$O$11,F363+H363)),"")</f>
        <v/>
      </c>
      <c r="J363" s="48" t="str">
        <f>IF(AND(Creditos!$C$11&lt;&gt;"",Creditos!$M$11="OK",58&lt;=Creditos!$H$11),MIN(F363,MAX(0,I363-H363)),"")</f>
        <v/>
      </c>
      <c r="K363" s="48" t="str">
        <f>IF(AND(Creditos!$C$11&lt;&gt;"",Creditos!$M$11="OK",58&lt;=Creditos!$H$11),Creditos!$J$11+Creditos!$K$11,"")</f>
        <v/>
      </c>
      <c r="L363" s="48" t="str">
        <f>IF(AND(Creditos!$C$11&lt;&gt;"",Creditos!$M$11="OK",58&lt;=Creditos!$H$11),I363+K363,"")</f>
        <v/>
      </c>
      <c r="M363" s="48" t="str">
        <f>IF(AND(Creditos!$C$11&lt;&gt;"",Creditos!$M$11="OK",58&lt;=Creditos!$H$11),MAX(0,F363-J363),"")</f>
        <v/>
      </c>
      <c r="N363" s="48" t="str">
        <f>IF(AND(Creditos!$C$11&lt;&gt;"",Creditos!$M$11="OK",58&lt;=Creditos!$H$11),SUMIFS(Pagos!$F$6:$F$305,Pagos!$C$6:$C$305,C363,Pagos!$D$6:$D$305,D363,Pagos!$E$6:$E$305,"&lt;="&amp;Supuestos!$D$6,Pagos!$H$6:$H$305,"OK"),"")</f>
        <v/>
      </c>
      <c r="O363" s="48" t="str">
        <f>IF(AND(Creditos!$C$11&lt;&gt;"",Creditos!$M$11="OK",58&lt;=Creditos!$H$11),MIN(J363,MAX(0,N363-K363-H363)),"")</f>
        <v/>
      </c>
      <c r="P363" s="48" t="str">
        <f>IF(AND(Creditos!$C$11&lt;&gt;"",Creditos!$M$11="OK",58&lt;=Creditos!$H$11),MAX(0,L363-N363),"")</f>
        <v/>
      </c>
      <c r="Q363" s="50" t="str">
        <f>IF(AND(Creditos!$C$11&lt;&gt;"",Creditos!$M$11="OK",58&lt;=Creditos!$H$11),IF(AND(E363&lt;Supuestos!$D$6,P363&gt;0.005),Supuestos!$D$6-E363,0),"")</f>
        <v/>
      </c>
      <c r="R363" s="48" t="str">
        <f>IF(AND(Creditos!$C$11&lt;&gt;"",Creditos!$M$11="OK",58&lt;=Creditos!$H$11),MAX(0,N363-L363),"")</f>
        <v/>
      </c>
      <c r="S363" s="46" t="str">
        <f>IF(AND(Creditos!$C$11&lt;&gt;"",Creditos!$M$11="OK",58&lt;=Creditos!$H$11),IF(R363&gt;0.005,"Exceso sin imputar",IF(P363&lt;=0.005,"Pagada",IF(E363&lt;Supuestos!$D$6,"Vencida",IF(E363=Supuestos!$D$6,"Vence hoy","Por vencer")))),"")</f>
        <v/>
      </c>
      <c r="T363" s="46">
        <f>IF(AND(Creditos!$C$11&lt;&gt;"",Creditos!$M$11="OK",58&lt;=Creditos!$H$11),IF(P363&gt;0.005,E363,999999),999999)</f>
        <v>999999</v>
      </c>
    </row>
    <row r="364" ht="25.5" customHeight="1">
      <c r="C364" s="46" t="str">
        <f>IF(AND(Creditos!$C$11&lt;&gt;"",Creditos!$M$11="OK",59&lt;=Creditos!$H$11),Creditos!$C$11,"")</f>
        <v/>
      </c>
      <c r="D364" s="46" t="str">
        <f>IF(AND(Creditos!$C$11&lt;&gt;"",Creditos!$M$11="OK",59&lt;=Creditos!$H$11),59,"")</f>
        <v/>
      </c>
      <c r="E364" s="47" t="str">
        <f>IF(AND(Creditos!$C$11&lt;&gt;"",Creditos!$M$11="OK",59&lt;=Creditos!$H$11),EDATE(Creditos!$I$11,58),"")</f>
        <v/>
      </c>
      <c r="F364" s="48" t="str">
        <f>IF(AND(Creditos!$C$11&lt;&gt;"",Creditos!$M$11="OK",59&lt;=Creditos!$H$11),M363,"")</f>
        <v/>
      </c>
      <c r="G364" s="49" t="str">
        <f>IF(AND(Creditos!$C$11&lt;&gt;"",Creditos!$M$11="OK",59&lt;=Creditos!$H$11),Creditos!$N$11,"")</f>
        <v/>
      </c>
      <c r="H364" s="48" t="str">
        <f>IF(AND(Creditos!$C$11&lt;&gt;"",Creditos!$M$11="OK",59&lt;=Creditos!$H$11),ROUND(F364*G364,2),"")</f>
        <v/>
      </c>
      <c r="I364" s="48" t="str">
        <f>IF(AND(Creditos!$C$11&lt;&gt;"",Creditos!$M$11="OK",59&lt;=Creditos!$H$11),IF(59=Creditos!$H$11,F364+H364,MIN(Creditos!$O$11,F364+H364)),"")</f>
        <v/>
      </c>
      <c r="J364" s="48" t="str">
        <f>IF(AND(Creditos!$C$11&lt;&gt;"",Creditos!$M$11="OK",59&lt;=Creditos!$H$11),MIN(F364,MAX(0,I364-H364)),"")</f>
        <v/>
      </c>
      <c r="K364" s="48" t="str">
        <f>IF(AND(Creditos!$C$11&lt;&gt;"",Creditos!$M$11="OK",59&lt;=Creditos!$H$11),Creditos!$J$11+Creditos!$K$11,"")</f>
        <v/>
      </c>
      <c r="L364" s="48" t="str">
        <f>IF(AND(Creditos!$C$11&lt;&gt;"",Creditos!$M$11="OK",59&lt;=Creditos!$H$11),I364+K364,"")</f>
        <v/>
      </c>
      <c r="M364" s="48" t="str">
        <f>IF(AND(Creditos!$C$11&lt;&gt;"",Creditos!$M$11="OK",59&lt;=Creditos!$H$11),MAX(0,F364-J364),"")</f>
        <v/>
      </c>
      <c r="N364" s="48" t="str">
        <f>IF(AND(Creditos!$C$11&lt;&gt;"",Creditos!$M$11="OK",59&lt;=Creditos!$H$11),SUMIFS(Pagos!$F$6:$F$305,Pagos!$C$6:$C$305,C364,Pagos!$D$6:$D$305,D364,Pagos!$E$6:$E$305,"&lt;="&amp;Supuestos!$D$6,Pagos!$H$6:$H$305,"OK"),"")</f>
        <v/>
      </c>
      <c r="O364" s="48" t="str">
        <f>IF(AND(Creditos!$C$11&lt;&gt;"",Creditos!$M$11="OK",59&lt;=Creditos!$H$11),MIN(J364,MAX(0,N364-K364-H364)),"")</f>
        <v/>
      </c>
      <c r="P364" s="48" t="str">
        <f>IF(AND(Creditos!$C$11&lt;&gt;"",Creditos!$M$11="OK",59&lt;=Creditos!$H$11),MAX(0,L364-N364),"")</f>
        <v/>
      </c>
      <c r="Q364" s="50" t="str">
        <f>IF(AND(Creditos!$C$11&lt;&gt;"",Creditos!$M$11="OK",59&lt;=Creditos!$H$11),IF(AND(E364&lt;Supuestos!$D$6,P364&gt;0.005),Supuestos!$D$6-E364,0),"")</f>
        <v/>
      </c>
      <c r="R364" s="48" t="str">
        <f>IF(AND(Creditos!$C$11&lt;&gt;"",Creditos!$M$11="OK",59&lt;=Creditos!$H$11),MAX(0,N364-L364),"")</f>
        <v/>
      </c>
      <c r="S364" s="46" t="str">
        <f>IF(AND(Creditos!$C$11&lt;&gt;"",Creditos!$M$11="OK",59&lt;=Creditos!$H$11),IF(R364&gt;0.005,"Exceso sin imputar",IF(P364&lt;=0.005,"Pagada",IF(E364&lt;Supuestos!$D$6,"Vencida",IF(E364=Supuestos!$D$6,"Vence hoy","Por vencer")))),"")</f>
        <v/>
      </c>
      <c r="T364" s="46">
        <f>IF(AND(Creditos!$C$11&lt;&gt;"",Creditos!$M$11="OK",59&lt;=Creditos!$H$11),IF(P364&gt;0.005,E364,999999),999999)</f>
        <v>999999</v>
      </c>
    </row>
    <row r="365" ht="25.5" customHeight="1">
      <c r="C365" s="46" t="str">
        <f>IF(AND(Creditos!$C$11&lt;&gt;"",Creditos!$M$11="OK",60&lt;=Creditos!$H$11),Creditos!$C$11,"")</f>
        <v/>
      </c>
      <c r="D365" s="46" t="str">
        <f>IF(AND(Creditos!$C$11&lt;&gt;"",Creditos!$M$11="OK",60&lt;=Creditos!$H$11),60,"")</f>
        <v/>
      </c>
      <c r="E365" s="47" t="str">
        <f>IF(AND(Creditos!$C$11&lt;&gt;"",Creditos!$M$11="OK",60&lt;=Creditos!$H$11),EDATE(Creditos!$I$11,59),"")</f>
        <v/>
      </c>
      <c r="F365" s="48" t="str">
        <f>IF(AND(Creditos!$C$11&lt;&gt;"",Creditos!$M$11="OK",60&lt;=Creditos!$H$11),M364,"")</f>
        <v/>
      </c>
      <c r="G365" s="49" t="str">
        <f>IF(AND(Creditos!$C$11&lt;&gt;"",Creditos!$M$11="OK",60&lt;=Creditos!$H$11),Creditos!$N$11,"")</f>
        <v/>
      </c>
      <c r="H365" s="48" t="str">
        <f>IF(AND(Creditos!$C$11&lt;&gt;"",Creditos!$M$11="OK",60&lt;=Creditos!$H$11),ROUND(F365*G365,2),"")</f>
        <v/>
      </c>
      <c r="I365" s="48" t="str">
        <f>IF(AND(Creditos!$C$11&lt;&gt;"",Creditos!$M$11="OK",60&lt;=Creditos!$H$11),IF(60=Creditos!$H$11,F365+H365,MIN(Creditos!$O$11,F365+H365)),"")</f>
        <v/>
      </c>
      <c r="J365" s="48" t="str">
        <f>IF(AND(Creditos!$C$11&lt;&gt;"",Creditos!$M$11="OK",60&lt;=Creditos!$H$11),MIN(F365,MAX(0,I365-H365)),"")</f>
        <v/>
      </c>
      <c r="K365" s="48" t="str">
        <f>IF(AND(Creditos!$C$11&lt;&gt;"",Creditos!$M$11="OK",60&lt;=Creditos!$H$11),Creditos!$J$11+Creditos!$K$11,"")</f>
        <v/>
      </c>
      <c r="L365" s="48" t="str">
        <f>IF(AND(Creditos!$C$11&lt;&gt;"",Creditos!$M$11="OK",60&lt;=Creditos!$H$11),I365+K365,"")</f>
        <v/>
      </c>
      <c r="M365" s="48" t="str">
        <f>IF(AND(Creditos!$C$11&lt;&gt;"",Creditos!$M$11="OK",60&lt;=Creditos!$H$11),MAX(0,F365-J365),"")</f>
        <v/>
      </c>
      <c r="N365" s="48" t="str">
        <f>IF(AND(Creditos!$C$11&lt;&gt;"",Creditos!$M$11="OK",60&lt;=Creditos!$H$11),SUMIFS(Pagos!$F$6:$F$305,Pagos!$C$6:$C$305,C365,Pagos!$D$6:$D$305,D365,Pagos!$E$6:$E$305,"&lt;="&amp;Supuestos!$D$6,Pagos!$H$6:$H$305,"OK"),"")</f>
        <v/>
      </c>
      <c r="O365" s="48" t="str">
        <f>IF(AND(Creditos!$C$11&lt;&gt;"",Creditos!$M$11="OK",60&lt;=Creditos!$H$11),MIN(J365,MAX(0,N365-K365-H365)),"")</f>
        <v/>
      </c>
      <c r="P365" s="48" t="str">
        <f>IF(AND(Creditos!$C$11&lt;&gt;"",Creditos!$M$11="OK",60&lt;=Creditos!$H$11),MAX(0,L365-N365),"")</f>
        <v/>
      </c>
      <c r="Q365" s="50" t="str">
        <f>IF(AND(Creditos!$C$11&lt;&gt;"",Creditos!$M$11="OK",60&lt;=Creditos!$H$11),IF(AND(E365&lt;Supuestos!$D$6,P365&gt;0.005),Supuestos!$D$6-E365,0),"")</f>
        <v/>
      </c>
      <c r="R365" s="48" t="str">
        <f>IF(AND(Creditos!$C$11&lt;&gt;"",Creditos!$M$11="OK",60&lt;=Creditos!$H$11),MAX(0,N365-L365),"")</f>
        <v/>
      </c>
      <c r="S365" s="46" t="str">
        <f>IF(AND(Creditos!$C$11&lt;&gt;"",Creditos!$M$11="OK",60&lt;=Creditos!$H$11),IF(R365&gt;0.005,"Exceso sin imputar",IF(P365&lt;=0.005,"Pagada",IF(E365&lt;Supuestos!$D$6,"Vencida",IF(E365=Supuestos!$D$6,"Vence hoy","Por vencer")))),"")</f>
        <v/>
      </c>
      <c r="T365" s="46">
        <f>IF(AND(Creditos!$C$11&lt;&gt;"",Creditos!$M$11="OK",60&lt;=Creditos!$H$11),IF(P365&gt;0.005,E365,999999),999999)</f>
        <v>999999</v>
      </c>
    </row>
    <row r="366" ht="25.5" customHeight="1">
      <c r="C366" s="46" t="str">
        <f>IF(AND(Creditos!$C$12&lt;&gt;"",Creditos!$M$12="OK",1&lt;=Creditos!$H$12),Creditos!$C$12,"")</f>
        <v/>
      </c>
      <c r="D366" s="46" t="str">
        <f>IF(AND(Creditos!$C$12&lt;&gt;"",Creditos!$M$12="OK",1&lt;=Creditos!$H$12),1,"")</f>
        <v/>
      </c>
      <c r="E366" s="47" t="str">
        <f>IF(AND(Creditos!$C$12&lt;&gt;"",Creditos!$M$12="OK",1&lt;=Creditos!$H$12),EDATE(Creditos!$I$12,0),"")</f>
        <v/>
      </c>
      <c r="F366" s="48" t="str">
        <f>IF(AND(Creditos!$C$12&lt;&gt;"",Creditos!$M$12="OK",1&lt;=Creditos!$H$12),Creditos!$E$12,"")</f>
        <v/>
      </c>
      <c r="G366" s="49" t="str">
        <f>IF(AND(Creditos!$C$12&lt;&gt;"",Creditos!$M$12="OK",1&lt;=Creditos!$H$12),Creditos!$N$12,"")</f>
        <v/>
      </c>
      <c r="H366" s="48" t="str">
        <f>IF(AND(Creditos!$C$12&lt;&gt;"",Creditos!$M$12="OK",1&lt;=Creditos!$H$12),ROUND(F366*G366,2),"")</f>
        <v/>
      </c>
      <c r="I366" s="48" t="str">
        <f>IF(AND(Creditos!$C$12&lt;&gt;"",Creditos!$M$12="OK",1&lt;=Creditos!$H$12),IF(1=Creditos!$H$12,F366+H366,MIN(Creditos!$O$12,F366+H366)),"")</f>
        <v/>
      </c>
      <c r="J366" s="48" t="str">
        <f>IF(AND(Creditos!$C$12&lt;&gt;"",Creditos!$M$12="OK",1&lt;=Creditos!$H$12),MIN(F366,MAX(0,I366-H366)),"")</f>
        <v/>
      </c>
      <c r="K366" s="48" t="str">
        <f>IF(AND(Creditos!$C$12&lt;&gt;"",Creditos!$M$12="OK",1&lt;=Creditos!$H$12),Creditos!$J$12+Creditos!$K$12,"")</f>
        <v/>
      </c>
      <c r="L366" s="48" t="str">
        <f>IF(AND(Creditos!$C$12&lt;&gt;"",Creditos!$M$12="OK",1&lt;=Creditos!$H$12),I366+K366,"")</f>
        <v/>
      </c>
      <c r="M366" s="48" t="str">
        <f>IF(AND(Creditos!$C$12&lt;&gt;"",Creditos!$M$12="OK",1&lt;=Creditos!$H$12),MAX(0,F366-J366),"")</f>
        <v/>
      </c>
      <c r="N366" s="48" t="str">
        <f>IF(AND(Creditos!$C$12&lt;&gt;"",Creditos!$M$12="OK",1&lt;=Creditos!$H$12),SUMIFS(Pagos!$F$6:$F$305,Pagos!$C$6:$C$305,C366,Pagos!$D$6:$D$305,D366,Pagos!$E$6:$E$305,"&lt;="&amp;Supuestos!$D$6,Pagos!$H$6:$H$305,"OK"),"")</f>
        <v/>
      </c>
      <c r="O366" s="48" t="str">
        <f>IF(AND(Creditos!$C$12&lt;&gt;"",Creditos!$M$12="OK",1&lt;=Creditos!$H$12),MIN(J366,MAX(0,N366-K366-H366)),"")</f>
        <v/>
      </c>
      <c r="P366" s="48" t="str">
        <f>IF(AND(Creditos!$C$12&lt;&gt;"",Creditos!$M$12="OK",1&lt;=Creditos!$H$12),MAX(0,L366-N366),"")</f>
        <v/>
      </c>
      <c r="Q366" s="50" t="str">
        <f>IF(AND(Creditos!$C$12&lt;&gt;"",Creditos!$M$12="OK",1&lt;=Creditos!$H$12),IF(AND(E366&lt;Supuestos!$D$6,P366&gt;0.005),Supuestos!$D$6-E366,0),"")</f>
        <v/>
      </c>
      <c r="R366" s="48" t="str">
        <f>IF(AND(Creditos!$C$12&lt;&gt;"",Creditos!$M$12="OK",1&lt;=Creditos!$H$12),MAX(0,N366-L366),"")</f>
        <v/>
      </c>
      <c r="S366" s="46" t="str">
        <f>IF(AND(Creditos!$C$12&lt;&gt;"",Creditos!$M$12="OK",1&lt;=Creditos!$H$12),IF(R366&gt;0.005,"Exceso sin imputar",IF(P366&lt;=0.005,"Pagada",IF(E366&lt;Supuestos!$D$6,"Vencida",IF(E366=Supuestos!$D$6,"Vence hoy","Por vencer")))),"")</f>
        <v/>
      </c>
      <c r="T366" s="46">
        <f>IF(AND(Creditos!$C$12&lt;&gt;"",Creditos!$M$12="OK",1&lt;=Creditos!$H$12),IF(P366&gt;0.005,E366,999999),999999)</f>
        <v>999999</v>
      </c>
    </row>
    <row r="367" ht="25.5" customHeight="1">
      <c r="C367" s="46" t="str">
        <f>IF(AND(Creditos!$C$12&lt;&gt;"",Creditos!$M$12="OK",2&lt;=Creditos!$H$12),Creditos!$C$12,"")</f>
        <v/>
      </c>
      <c r="D367" s="46" t="str">
        <f>IF(AND(Creditos!$C$12&lt;&gt;"",Creditos!$M$12="OK",2&lt;=Creditos!$H$12),2,"")</f>
        <v/>
      </c>
      <c r="E367" s="47" t="str">
        <f>IF(AND(Creditos!$C$12&lt;&gt;"",Creditos!$M$12="OK",2&lt;=Creditos!$H$12),EDATE(Creditos!$I$12,1),"")</f>
        <v/>
      </c>
      <c r="F367" s="48" t="str">
        <f>IF(AND(Creditos!$C$12&lt;&gt;"",Creditos!$M$12="OK",2&lt;=Creditos!$H$12),M366,"")</f>
        <v/>
      </c>
      <c r="G367" s="49" t="str">
        <f>IF(AND(Creditos!$C$12&lt;&gt;"",Creditos!$M$12="OK",2&lt;=Creditos!$H$12),Creditos!$N$12,"")</f>
        <v/>
      </c>
      <c r="H367" s="48" t="str">
        <f>IF(AND(Creditos!$C$12&lt;&gt;"",Creditos!$M$12="OK",2&lt;=Creditos!$H$12),ROUND(F367*G367,2),"")</f>
        <v/>
      </c>
      <c r="I367" s="48" t="str">
        <f>IF(AND(Creditos!$C$12&lt;&gt;"",Creditos!$M$12="OK",2&lt;=Creditos!$H$12),IF(2=Creditos!$H$12,F367+H367,MIN(Creditos!$O$12,F367+H367)),"")</f>
        <v/>
      </c>
      <c r="J367" s="48" t="str">
        <f>IF(AND(Creditos!$C$12&lt;&gt;"",Creditos!$M$12="OK",2&lt;=Creditos!$H$12),MIN(F367,MAX(0,I367-H367)),"")</f>
        <v/>
      </c>
      <c r="K367" s="48" t="str">
        <f>IF(AND(Creditos!$C$12&lt;&gt;"",Creditos!$M$12="OK",2&lt;=Creditos!$H$12),Creditos!$J$12+Creditos!$K$12,"")</f>
        <v/>
      </c>
      <c r="L367" s="48" t="str">
        <f>IF(AND(Creditos!$C$12&lt;&gt;"",Creditos!$M$12="OK",2&lt;=Creditos!$H$12),I367+K367,"")</f>
        <v/>
      </c>
      <c r="M367" s="48" t="str">
        <f>IF(AND(Creditos!$C$12&lt;&gt;"",Creditos!$M$12="OK",2&lt;=Creditos!$H$12),MAX(0,F367-J367),"")</f>
        <v/>
      </c>
      <c r="N367" s="48" t="str">
        <f>IF(AND(Creditos!$C$12&lt;&gt;"",Creditos!$M$12="OK",2&lt;=Creditos!$H$12),SUMIFS(Pagos!$F$6:$F$305,Pagos!$C$6:$C$305,C367,Pagos!$D$6:$D$305,D367,Pagos!$E$6:$E$305,"&lt;="&amp;Supuestos!$D$6,Pagos!$H$6:$H$305,"OK"),"")</f>
        <v/>
      </c>
      <c r="O367" s="48" t="str">
        <f>IF(AND(Creditos!$C$12&lt;&gt;"",Creditos!$M$12="OK",2&lt;=Creditos!$H$12),MIN(J367,MAX(0,N367-K367-H367)),"")</f>
        <v/>
      </c>
      <c r="P367" s="48" t="str">
        <f>IF(AND(Creditos!$C$12&lt;&gt;"",Creditos!$M$12="OK",2&lt;=Creditos!$H$12),MAX(0,L367-N367),"")</f>
        <v/>
      </c>
      <c r="Q367" s="50" t="str">
        <f>IF(AND(Creditos!$C$12&lt;&gt;"",Creditos!$M$12="OK",2&lt;=Creditos!$H$12),IF(AND(E367&lt;Supuestos!$D$6,P367&gt;0.005),Supuestos!$D$6-E367,0),"")</f>
        <v/>
      </c>
      <c r="R367" s="48" t="str">
        <f>IF(AND(Creditos!$C$12&lt;&gt;"",Creditos!$M$12="OK",2&lt;=Creditos!$H$12),MAX(0,N367-L367),"")</f>
        <v/>
      </c>
      <c r="S367" s="46" t="str">
        <f>IF(AND(Creditos!$C$12&lt;&gt;"",Creditos!$M$12="OK",2&lt;=Creditos!$H$12),IF(R367&gt;0.005,"Exceso sin imputar",IF(P367&lt;=0.005,"Pagada",IF(E367&lt;Supuestos!$D$6,"Vencida",IF(E367=Supuestos!$D$6,"Vence hoy","Por vencer")))),"")</f>
        <v/>
      </c>
      <c r="T367" s="46">
        <f>IF(AND(Creditos!$C$12&lt;&gt;"",Creditos!$M$12="OK",2&lt;=Creditos!$H$12),IF(P367&gt;0.005,E367,999999),999999)</f>
        <v>999999</v>
      </c>
    </row>
    <row r="368" ht="25.5" customHeight="1">
      <c r="C368" s="46" t="str">
        <f>IF(AND(Creditos!$C$12&lt;&gt;"",Creditos!$M$12="OK",3&lt;=Creditos!$H$12),Creditos!$C$12,"")</f>
        <v/>
      </c>
      <c r="D368" s="46" t="str">
        <f>IF(AND(Creditos!$C$12&lt;&gt;"",Creditos!$M$12="OK",3&lt;=Creditos!$H$12),3,"")</f>
        <v/>
      </c>
      <c r="E368" s="47" t="str">
        <f>IF(AND(Creditos!$C$12&lt;&gt;"",Creditos!$M$12="OK",3&lt;=Creditos!$H$12),EDATE(Creditos!$I$12,2),"")</f>
        <v/>
      </c>
      <c r="F368" s="48" t="str">
        <f>IF(AND(Creditos!$C$12&lt;&gt;"",Creditos!$M$12="OK",3&lt;=Creditos!$H$12),M367,"")</f>
        <v/>
      </c>
      <c r="G368" s="49" t="str">
        <f>IF(AND(Creditos!$C$12&lt;&gt;"",Creditos!$M$12="OK",3&lt;=Creditos!$H$12),Creditos!$N$12,"")</f>
        <v/>
      </c>
      <c r="H368" s="48" t="str">
        <f>IF(AND(Creditos!$C$12&lt;&gt;"",Creditos!$M$12="OK",3&lt;=Creditos!$H$12),ROUND(F368*G368,2),"")</f>
        <v/>
      </c>
      <c r="I368" s="48" t="str">
        <f>IF(AND(Creditos!$C$12&lt;&gt;"",Creditos!$M$12="OK",3&lt;=Creditos!$H$12),IF(3=Creditos!$H$12,F368+H368,MIN(Creditos!$O$12,F368+H368)),"")</f>
        <v/>
      </c>
      <c r="J368" s="48" t="str">
        <f>IF(AND(Creditos!$C$12&lt;&gt;"",Creditos!$M$12="OK",3&lt;=Creditos!$H$12),MIN(F368,MAX(0,I368-H368)),"")</f>
        <v/>
      </c>
      <c r="K368" s="48" t="str">
        <f>IF(AND(Creditos!$C$12&lt;&gt;"",Creditos!$M$12="OK",3&lt;=Creditos!$H$12),Creditos!$J$12+Creditos!$K$12,"")</f>
        <v/>
      </c>
      <c r="L368" s="48" t="str">
        <f>IF(AND(Creditos!$C$12&lt;&gt;"",Creditos!$M$12="OK",3&lt;=Creditos!$H$12),I368+K368,"")</f>
        <v/>
      </c>
      <c r="M368" s="48" t="str">
        <f>IF(AND(Creditos!$C$12&lt;&gt;"",Creditos!$M$12="OK",3&lt;=Creditos!$H$12),MAX(0,F368-J368),"")</f>
        <v/>
      </c>
      <c r="N368" s="48" t="str">
        <f>IF(AND(Creditos!$C$12&lt;&gt;"",Creditos!$M$12="OK",3&lt;=Creditos!$H$12),SUMIFS(Pagos!$F$6:$F$305,Pagos!$C$6:$C$305,C368,Pagos!$D$6:$D$305,D368,Pagos!$E$6:$E$305,"&lt;="&amp;Supuestos!$D$6,Pagos!$H$6:$H$305,"OK"),"")</f>
        <v/>
      </c>
      <c r="O368" s="48" t="str">
        <f>IF(AND(Creditos!$C$12&lt;&gt;"",Creditos!$M$12="OK",3&lt;=Creditos!$H$12),MIN(J368,MAX(0,N368-K368-H368)),"")</f>
        <v/>
      </c>
      <c r="P368" s="48" t="str">
        <f>IF(AND(Creditos!$C$12&lt;&gt;"",Creditos!$M$12="OK",3&lt;=Creditos!$H$12),MAX(0,L368-N368),"")</f>
        <v/>
      </c>
      <c r="Q368" s="50" t="str">
        <f>IF(AND(Creditos!$C$12&lt;&gt;"",Creditos!$M$12="OK",3&lt;=Creditos!$H$12),IF(AND(E368&lt;Supuestos!$D$6,P368&gt;0.005),Supuestos!$D$6-E368,0),"")</f>
        <v/>
      </c>
      <c r="R368" s="48" t="str">
        <f>IF(AND(Creditos!$C$12&lt;&gt;"",Creditos!$M$12="OK",3&lt;=Creditos!$H$12),MAX(0,N368-L368),"")</f>
        <v/>
      </c>
      <c r="S368" s="46" t="str">
        <f>IF(AND(Creditos!$C$12&lt;&gt;"",Creditos!$M$12="OK",3&lt;=Creditos!$H$12),IF(R368&gt;0.005,"Exceso sin imputar",IF(P368&lt;=0.005,"Pagada",IF(E368&lt;Supuestos!$D$6,"Vencida",IF(E368=Supuestos!$D$6,"Vence hoy","Por vencer")))),"")</f>
        <v/>
      </c>
      <c r="T368" s="46">
        <f>IF(AND(Creditos!$C$12&lt;&gt;"",Creditos!$M$12="OK",3&lt;=Creditos!$H$12),IF(P368&gt;0.005,E368,999999),999999)</f>
        <v>999999</v>
      </c>
    </row>
    <row r="369" ht="25.5" customHeight="1">
      <c r="C369" s="46" t="str">
        <f>IF(AND(Creditos!$C$12&lt;&gt;"",Creditos!$M$12="OK",4&lt;=Creditos!$H$12),Creditos!$C$12,"")</f>
        <v/>
      </c>
      <c r="D369" s="46" t="str">
        <f>IF(AND(Creditos!$C$12&lt;&gt;"",Creditos!$M$12="OK",4&lt;=Creditos!$H$12),4,"")</f>
        <v/>
      </c>
      <c r="E369" s="47" t="str">
        <f>IF(AND(Creditos!$C$12&lt;&gt;"",Creditos!$M$12="OK",4&lt;=Creditos!$H$12),EDATE(Creditos!$I$12,3),"")</f>
        <v/>
      </c>
      <c r="F369" s="48" t="str">
        <f>IF(AND(Creditos!$C$12&lt;&gt;"",Creditos!$M$12="OK",4&lt;=Creditos!$H$12),M368,"")</f>
        <v/>
      </c>
      <c r="G369" s="49" t="str">
        <f>IF(AND(Creditos!$C$12&lt;&gt;"",Creditos!$M$12="OK",4&lt;=Creditos!$H$12),Creditos!$N$12,"")</f>
        <v/>
      </c>
      <c r="H369" s="48" t="str">
        <f>IF(AND(Creditos!$C$12&lt;&gt;"",Creditos!$M$12="OK",4&lt;=Creditos!$H$12),ROUND(F369*G369,2),"")</f>
        <v/>
      </c>
      <c r="I369" s="48" t="str">
        <f>IF(AND(Creditos!$C$12&lt;&gt;"",Creditos!$M$12="OK",4&lt;=Creditos!$H$12),IF(4=Creditos!$H$12,F369+H369,MIN(Creditos!$O$12,F369+H369)),"")</f>
        <v/>
      </c>
      <c r="J369" s="48" t="str">
        <f>IF(AND(Creditos!$C$12&lt;&gt;"",Creditos!$M$12="OK",4&lt;=Creditos!$H$12),MIN(F369,MAX(0,I369-H369)),"")</f>
        <v/>
      </c>
      <c r="K369" s="48" t="str">
        <f>IF(AND(Creditos!$C$12&lt;&gt;"",Creditos!$M$12="OK",4&lt;=Creditos!$H$12),Creditos!$J$12+Creditos!$K$12,"")</f>
        <v/>
      </c>
      <c r="L369" s="48" t="str">
        <f>IF(AND(Creditos!$C$12&lt;&gt;"",Creditos!$M$12="OK",4&lt;=Creditos!$H$12),I369+K369,"")</f>
        <v/>
      </c>
      <c r="M369" s="48" t="str">
        <f>IF(AND(Creditos!$C$12&lt;&gt;"",Creditos!$M$12="OK",4&lt;=Creditos!$H$12),MAX(0,F369-J369),"")</f>
        <v/>
      </c>
      <c r="N369" s="48" t="str">
        <f>IF(AND(Creditos!$C$12&lt;&gt;"",Creditos!$M$12="OK",4&lt;=Creditos!$H$12),SUMIFS(Pagos!$F$6:$F$305,Pagos!$C$6:$C$305,C369,Pagos!$D$6:$D$305,D369,Pagos!$E$6:$E$305,"&lt;="&amp;Supuestos!$D$6,Pagos!$H$6:$H$305,"OK"),"")</f>
        <v/>
      </c>
      <c r="O369" s="48" t="str">
        <f>IF(AND(Creditos!$C$12&lt;&gt;"",Creditos!$M$12="OK",4&lt;=Creditos!$H$12),MIN(J369,MAX(0,N369-K369-H369)),"")</f>
        <v/>
      </c>
      <c r="P369" s="48" t="str">
        <f>IF(AND(Creditos!$C$12&lt;&gt;"",Creditos!$M$12="OK",4&lt;=Creditos!$H$12),MAX(0,L369-N369),"")</f>
        <v/>
      </c>
      <c r="Q369" s="50" t="str">
        <f>IF(AND(Creditos!$C$12&lt;&gt;"",Creditos!$M$12="OK",4&lt;=Creditos!$H$12),IF(AND(E369&lt;Supuestos!$D$6,P369&gt;0.005),Supuestos!$D$6-E369,0),"")</f>
        <v/>
      </c>
      <c r="R369" s="48" t="str">
        <f>IF(AND(Creditos!$C$12&lt;&gt;"",Creditos!$M$12="OK",4&lt;=Creditos!$H$12),MAX(0,N369-L369),"")</f>
        <v/>
      </c>
      <c r="S369" s="46" t="str">
        <f>IF(AND(Creditos!$C$12&lt;&gt;"",Creditos!$M$12="OK",4&lt;=Creditos!$H$12),IF(R369&gt;0.005,"Exceso sin imputar",IF(P369&lt;=0.005,"Pagada",IF(E369&lt;Supuestos!$D$6,"Vencida",IF(E369=Supuestos!$D$6,"Vence hoy","Por vencer")))),"")</f>
        <v/>
      </c>
      <c r="T369" s="46">
        <f>IF(AND(Creditos!$C$12&lt;&gt;"",Creditos!$M$12="OK",4&lt;=Creditos!$H$12),IF(P369&gt;0.005,E369,999999),999999)</f>
        <v>999999</v>
      </c>
    </row>
    <row r="370" ht="25.5" customHeight="1">
      <c r="C370" s="46" t="str">
        <f>IF(AND(Creditos!$C$12&lt;&gt;"",Creditos!$M$12="OK",5&lt;=Creditos!$H$12),Creditos!$C$12,"")</f>
        <v/>
      </c>
      <c r="D370" s="46" t="str">
        <f>IF(AND(Creditos!$C$12&lt;&gt;"",Creditos!$M$12="OK",5&lt;=Creditos!$H$12),5,"")</f>
        <v/>
      </c>
      <c r="E370" s="47" t="str">
        <f>IF(AND(Creditos!$C$12&lt;&gt;"",Creditos!$M$12="OK",5&lt;=Creditos!$H$12),EDATE(Creditos!$I$12,4),"")</f>
        <v/>
      </c>
      <c r="F370" s="48" t="str">
        <f>IF(AND(Creditos!$C$12&lt;&gt;"",Creditos!$M$12="OK",5&lt;=Creditos!$H$12),M369,"")</f>
        <v/>
      </c>
      <c r="G370" s="49" t="str">
        <f>IF(AND(Creditos!$C$12&lt;&gt;"",Creditos!$M$12="OK",5&lt;=Creditos!$H$12),Creditos!$N$12,"")</f>
        <v/>
      </c>
      <c r="H370" s="48" t="str">
        <f>IF(AND(Creditos!$C$12&lt;&gt;"",Creditos!$M$12="OK",5&lt;=Creditos!$H$12),ROUND(F370*G370,2),"")</f>
        <v/>
      </c>
      <c r="I370" s="48" t="str">
        <f>IF(AND(Creditos!$C$12&lt;&gt;"",Creditos!$M$12="OK",5&lt;=Creditos!$H$12),IF(5=Creditos!$H$12,F370+H370,MIN(Creditos!$O$12,F370+H370)),"")</f>
        <v/>
      </c>
      <c r="J370" s="48" t="str">
        <f>IF(AND(Creditos!$C$12&lt;&gt;"",Creditos!$M$12="OK",5&lt;=Creditos!$H$12),MIN(F370,MAX(0,I370-H370)),"")</f>
        <v/>
      </c>
      <c r="K370" s="48" t="str">
        <f>IF(AND(Creditos!$C$12&lt;&gt;"",Creditos!$M$12="OK",5&lt;=Creditos!$H$12),Creditos!$J$12+Creditos!$K$12,"")</f>
        <v/>
      </c>
      <c r="L370" s="48" t="str">
        <f>IF(AND(Creditos!$C$12&lt;&gt;"",Creditos!$M$12="OK",5&lt;=Creditos!$H$12),I370+K370,"")</f>
        <v/>
      </c>
      <c r="M370" s="48" t="str">
        <f>IF(AND(Creditos!$C$12&lt;&gt;"",Creditos!$M$12="OK",5&lt;=Creditos!$H$12),MAX(0,F370-J370),"")</f>
        <v/>
      </c>
      <c r="N370" s="48" t="str">
        <f>IF(AND(Creditos!$C$12&lt;&gt;"",Creditos!$M$12="OK",5&lt;=Creditos!$H$12),SUMIFS(Pagos!$F$6:$F$305,Pagos!$C$6:$C$305,C370,Pagos!$D$6:$D$305,D370,Pagos!$E$6:$E$305,"&lt;="&amp;Supuestos!$D$6,Pagos!$H$6:$H$305,"OK"),"")</f>
        <v/>
      </c>
      <c r="O370" s="48" t="str">
        <f>IF(AND(Creditos!$C$12&lt;&gt;"",Creditos!$M$12="OK",5&lt;=Creditos!$H$12),MIN(J370,MAX(0,N370-K370-H370)),"")</f>
        <v/>
      </c>
      <c r="P370" s="48" t="str">
        <f>IF(AND(Creditos!$C$12&lt;&gt;"",Creditos!$M$12="OK",5&lt;=Creditos!$H$12),MAX(0,L370-N370),"")</f>
        <v/>
      </c>
      <c r="Q370" s="50" t="str">
        <f>IF(AND(Creditos!$C$12&lt;&gt;"",Creditos!$M$12="OK",5&lt;=Creditos!$H$12),IF(AND(E370&lt;Supuestos!$D$6,P370&gt;0.005),Supuestos!$D$6-E370,0),"")</f>
        <v/>
      </c>
      <c r="R370" s="48" t="str">
        <f>IF(AND(Creditos!$C$12&lt;&gt;"",Creditos!$M$12="OK",5&lt;=Creditos!$H$12),MAX(0,N370-L370),"")</f>
        <v/>
      </c>
      <c r="S370" s="46" t="str">
        <f>IF(AND(Creditos!$C$12&lt;&gt;"",Creditos!$M$12="OK",5&lt;=Creditos!$H$12),IF(R370&gt;0.005,"Exceso sin imputar",IF(P370&lt;=0.005,"Pagada",IF(E370&lt;Supuestos!$D$6,"Vencida",IF(E370=Supuestos!$D$6,"Vence hoy","Por vencer")))),"")</f>
        <v/>
      </c>
      <c r="T370" s="46">
        <f>IF(AND(Creditos!$C$12&lt;&gt;"",Creditos!$M$12="OK",5&lt;=Creditos!$H$12),IF(P370&gt;0.005,E370,999999),999999)</f>
        <v>999999</v>
      </c>
    </row>
    <row r="371" ht="25.5" customHeight="1">
      <c r="C371" s="46" t="str">
        <f>IF(AND(Creditos!$C$12&lt;&gt;"",Creditos!$M$12="OK",6&lt;=Creditos!$H$12),Creditos!$C$12,"")</f>
        <v/>
      </c>
      <c r="D371" s="46" t="str">
        <f>IF(AND(Creditos!$C$12&lt;&gt;"",Creditos!$M$12="OK",6&lt;=Creditos!$H$12),6,"")</f>
        <v/>
      </c>
      <c r="E371" s="47" t="str">
        <f>IF(AND(Creditos!$C$12&lt;&gt;"",Creditos!$M$12="OK",6&lt;=Creditos!$H$12),EDATE(Creditos!$I$12,5),"")</f>
        <v/>
      </c>
      <c r="F371" s="48" t="str">
        <f>IF(AND(Creditos!$C$12&lt;&gt;"",Creditos!$M$12="OK",6&lt;=Creditos!$H$12),M370,"")</f>
        <v/>
      </c>
      <c r="G371" s="49" t="str">
        <f>IF(AND(Creditos!$C$12&lt;&gt;"",Creditos!$M$12="OK",6&lt;=Creditos!$H$12),Creditos!$N$12,"")</f>
        <v/>
      </c>
      <c r="H371" s="48" t="str">
        <f>IF(AND(Creditos!$C$12&lt;&gt;"",Creditos!$M$12="OK",6&lt;=Creditos!$H$12),ROUND(F371*G371,2),"")</f>
        <v/>
      </c>
      <c r="I371" s="48" t="str">
        <f>IF(AND(Creditos!$C$12&lt;&gt;"",Creditos!$M$12="OK",6&lt;=Creditos!$H$12),IF(6=Creditos!$H$12,F371+H371,MIN(Creditos!$O$12,F371+H371)),"")</f>
        <v/>
      </c>
      <c r="J371" s="48" t="str">
        <f>IF(AND(Creditos!$C$12&lt;&gt;"",Creditos!$M$12="OK",6&lt;=Creditos!$H$12),MIN(F371,MAX(0,I371-H371)),"")</f>
        <v/>
      </c>
      <c r="K371" s="48" t="str">
        <f>IF(AND(Creditos!$C$12&lt;&gt;"",Creditos!$M$12="OK",6&lt;=Creditos!$H$12),Creditos!$J$12+Creditos!$K$12,"")</f>
        <v/>
      </c>
      <c r="L371" s="48" t="str">
        <f>IF(AND(Creditos!$C$12&lt;&gt;"",Creditos!$M$12="OK",6&lt;=Creditos!$H$12),I371+K371,"")</f>
        <v/>
      </c>
      <c r="M371" s="48" t="str">
        <f>IF(AND(Creditos!$C$12&lt;&gt;"",Creditos!$M$12="OK",6&lt;=Creditos!$H$12),MAX(0,F371-J371),"")</f>
        <v/>
      </c>
      <c r="N371" s="48" t="str">
        <f>IF(AND(Creditos!$C$12&lt;&gt;"",Creditos!$M$12="OK",6&lt;=Creditos!$H$12),SUMIFS(Pagos!$F$6:$F$305,Pagos!$C$6:$C$305,C371,Pagos!$D$6:$D$305,D371,Pagos!$E$6:$E$305,"&lt;="&amp;Supuestos!$D$6,Pagos!$H$6:$H$305,"OK"),"")</f>
        <v/>
      </c>
      <c r="O371" s="48" t="str">
        <f>IF(AND(Creditos!$C$12&lt;&gt;"",Creditos!$M$12="OK",6&lt;=Creditos!$H$12),MIN(J371,MAX(0,N371-K371-H371)),"")</f>
        <v/>
      </c>
      <c r="P371" s="48" t="str">
        <f>IF(AND(Creditos!$C$12&lt;&gt;"",Creditos!$M$12="OK",6&lt;=Creditos!$H$12),MAX(0,L371-N371),"")</f>
        <v/>
      </c>
      <c r="Q371" s="50" t="str">
        <f>IF(AND(Creditos!$C$12&lt;&gt;"",Creditos!$M$12="OK",6&lt;=Creditos!$H$12),IF(AND(E371&lt;Supuestos!$D$6,P371&gt;0.005),Supuestos!$D$6-E371,0),"")</f>
        <v/>
      </c>
      <c r="R371" s="48" t="str">
        <f>IF(AND(Creditos!$C$12&lt;&gt;"",Creditos!$M$12="OK",6&lt;=Creditos!$H$12),MAX(0,N371-L371),"")</f>
        <v/>
      </c>
      <c r="S371" s="46" t="str">
        <f>IF(AND(Creditos!$C$12&lt;&gt;"",Creditos!$M$12="OK",6&lt;=Creditos!$H$12),IF(R371&gt;0.005,"Exceso sin imputar",IF(P371&lt;=0.005,"Pagada",IF(E371&lt;Supuestos!$D$6,"Vencida",IF(E371=Supuestos!$D$6,"Vence hoy","Por vencer")))),"")</f>
        <v/>
      </c>
      <c r="T371" s="46">
        <f>IF(AND(Creditos!$C$12&lt;&gt;"",Creditos!$M$12="OK",6&lt;=Creditos!$H$12),IF(P371&gt;0.005,E371,999999),999999)</f>
        <v>999999</v>
      </c>
    </row>
    <row r="372" ht="25.5" customHeight="1">
      <c r="C372" s="46" t="str">
        <f>IF(AND(Creditos!$C$12&lt;&gt;"",Creditos!$M$12="OK",7&lt;=Creditos!$H$12),Creditos!$C$12,"")</f>
        <v/>
      </c>
      <c r="D372" s="46" t="str">
        <f>IF(AND(Creditos!$C$12&lt;&gt;"",Creditos!$M$12="OK",7&lt;=Creditos!$H$12),7,"")</f>
        <v/>
      </c>
      <c r="E372" s="47" t="str">
        <f>IF(AND(Creditos!$C$12&lt;&gt;"",Creditos!$M$12="OK",7&lt;=Creditos!$H$12),EDATE(Creditos!$I$12,6),"")</f>
        <v/>
      </c>
      <c r="F372" s="48" t="str">
        <f>IF(AND(Creditos!$C$12&lt;&gt;"",Creditos!$M$12="OK",7&lt;=Creditos!$H$12),M371,"")</f>
        <v/>
      </c>
      <c r="G372" s="49" t="str">
        <f>IF(AND(Creditos!$C$12&lt;&gt;"",Creditos!$M$12="OK",7&lt;=Creditos!$H$12),Creditos!$N$12,"")</f>
        <v/>
      </c>
      <c r="H372" s="48" t="str">
        <f>IF(AND(Creditos!$C$12&lt;&gt;"",Creditos!$M$12="OK",7&lt;=Creditos!$H$12),ROUND(F372*G372,2),"")</f>
        <v/>
      </c>
      <c r="I372" s="48" t="str">
        <f>IF(AND(Creditos!$C$12&lt;&gt;"",Creditos!$M$12="OK",7&lt;=Creditos!$H$12),IF(7=Creditos!$H$12,F372+H372,MIN(Creditos!$O$12,F372+H372)),"")</f>
        <v/>
      </c>
      <c r="J372" s="48" t="str">
        <f>IF(AND(Creditos!$C$12&lt;&gt;"",Creditos!$M$12="OK",7&lt;=Creditos!$H$12),MIN(F372,MAX(0,I372-H372)),"")</f>
        <v/>
      </c>
      <c r="K372" s="48" t="str">
        <f>IF(AND(Creditos!$C$12&lt;&gt;"",Creditos!$M$12="OK",7&lt;=Creditos!$H$12),Creditos!$J$12+Creditos!$K$12,"")</f>
        <v/>
      </c>
      <c r="L372" s="48" t="str">
        <f>IF(AND(Creditos!$C$12&lt;&gt;"",Creditos!$M$12="OK",7&lt;=Creditos!$H$12),I372+K372,"")</f>
        <v/>
      </c>
      <c r="M372" s="48" t="str">
        <f>IF(AND(Creditos!$C$12&lt;&gt;"",Creditos!$M$12="OK",7&lt;=Creditos!$H$12),MAX(0,F372-J372),"")</f>
        <v/>
      </c>
      <c r="N372" s="48" t="str">
        <f>IF(AND(Creditos!$C$12&lt;&gt;"",Creditos!$M$12="OK",7&lt;=Creditos!$H$12),SUMIFS(Pagos!$F$6:$F$305,Pagos!$C$6:$C$305,C372,Pagos!$D$6:$D$305,D372,Pagos!$E$6:$E$305,"&lt;="&amp;Supuestos!$D$6,Pagos!$H$6:$H$305,"OK"),"")</f>
        <v/>
      </c>
      <c r="O372" s="48" t="str">
        <f>IF(AND(Creditos!$C$12&lt;&gt;"",Creditos!$M$12="OK",7&lt;=Creditos!$H$12),MIN(J372,MAX(0,N372-K372-H372)),"")</f>
        <v/>
      </c>
      <c r="P372" s="48" t="str">
        <f>IF(AND(Creditos!$C$12&lt;&gt;"",Creditos!$M$12="OK",7&lt;=Creditos!$H$12),MAX(0,L372-N372),"")</f>
        <v/>
      </c>
      <c r="Q372" s="50" t="str">
        <f>IF(AND(Creditos!$C$12&lt;&gt;"",Creditos!$M$12="OK",7&lt;=Creditos!$H$12),IF(AND(E372&lt;Supuestos!$D$6,P372&gt;0.005),Supuestos!$D$6-E372,0),"")</f>
        <v/>
      </c>
      <c r="R372" s="48" t="str">
        <f>IF(AND(Creditos!$C$12&lt;&gt;"",Creditos!$M$12="OK",7&lt;=Creditos!$H$12),MAX(0,N372-L372),"")</f>
        <v/>
      </c>
      <c r="S372" s="46" t="str">
        <f>IF(AND(Creditos!$C$12&lt;&gt;"",Creditos!$M$12="OK",7&lt;=Creditos!$H$12),IF(R372&gt;0.005,"Exceso sin imputar",IF(P372&lt;=0.005,"Pagada",IF(E372&lt;Supuestos!$D$6,"Vencida",IF(E372=Supuestos!$D$6,"Vence hoy","Por vencer")))),"")</f>
        <v/>
      </c>
      <c r="T372" s="46">
        <f>IF(AND(Creditos!$C$12&lt;&gt;"",Creditos!$M$12="OK",7&lt;=Creditos!$H$12),IF(P372&gt;0.005,E372,999999),999999)</f>
        <v>999999</v>
      </c>
    </row>
    <row r="373" ht="25.5" customHeight="1">
      <c r="C373" s="46" t="str">
        <f>IF(AND(Creditos!$C$12&lt;&gt;"",Creditos!$M$12="OK",8&lt;=Creditos!$H$12),Creditos!$C$12,"")</f>
        <v/>
      </c>
      <c r="D373" s="46" t="str">
        <f>IF(AND(Creditos!$C$12&lt;&gt;"",Creditos!$M$12="OK",8&lt;=Creditos!$H$12),8,"")</f>
        <v/>
      </c>
      <c r="E373" s="47" t="str">
        <f>IF(AND(Creditos!$C$12&lt;&gt;"",Creditos!$M$12="OK",8&lt;=Creditos!$H$12),EDATE(Creditos!$I$12,7),"")</f>
        <v/>
      </c>
      <c r="F373" s="48" t="str">
        <f>IF(AND(Creditos!$C$12&lt;&gt;"",Creditos!$M$12="OK",8&lt;=Creditos!$H$12),M372,"")</f>
        <v/>
      </c>
      <c r="G373" s="49" t="str">
        <f>IF(AND(Creditos!$C$12&lt;&gt;"",Creditos!$M$12="OK",8&lt;=Creditos!$H$12),Creditos!$N$12,"")</f>
        <v/>
      </c>
      <c r="H373" s="48" t="str">
        <f>IF(AND(Creditos!$C$12&lt;&gt;"",Creditos!$M$12="OK",8&lt;=Creditos!$H$12),ROUND(F373*G373,2),"")</f>
        <v/>
      </c>
      <c r="I373" s="48" t="str">
        <f>IF(AND(Creditos!$C$12&lt;&gt;"",Creditos!$M$12="OK",8&lt;=Creditos!$H$12),IF(8=Creditos!$H$12,F373+H373,MIN(Creditos!$O$12,F373+H373)),"")</f>
        <v/>
      </c>
      <c r="J373" s="48" t="str">
        <f>IF(AND(Creditos!$C$12&lt;&gt;"",Creditos!$M$12="OK",8&lt;=Creditos!$H$12),MIN(F373,MAX(0,I373-H373)),"")</f>
        <v/>
      </c>
      <c r="K373" s="48" t="str">
        <f>IF(AND(Creditos!$C$12&lt;&gt;"",Creditos!$M$12="OK",8&lt;=Creditos!$H$12),Creditos!$J$12+Creditos!$K$12,"")</f>
        <v/>
      </c>
      <c r="L373" s="48" t="str">
        <f>IF(AND(Creditos!$C$12&lt;&gt;"",Creditos!$M$12="OK",8&lt;=Creditos!$H$12),I373+K373,"")</f>
        <v/>
      </c>
      <c r="M373" s="48" t="str">
        <f>IF(AND(Creditos!$C$12&lt;&gt;"",Creditos!$M$12="OK",8&lt;=Creditos!$H$12),MAX(0,F373-J373),"")</f>
        <v/>
      </c>
      <c r="N373" s="48" t="str">
        <f>IF(AND(Creditos!$C$12&lt;&gt;"",Creditos!$M$12="OK",8&lt;=Creditos!$H$12),SUMIFS(Pagos!$F$6:$F$305,Pagos!$C$6:$C$305,C373,Pagos!$D$6:$D$305,D373,Pagos!$E$6:$E$305,"&lt;="&amp;Supuestos!$D$6,Pagos!$H$6:$H$305,"OK"),"")</f>
        <v/>
      </c>
      <c r="O373" s="48" t="str">
        <f>IF(AND(Creditos!$C$12&lt;&gt;"",Creditos!$M$12="OK",8&lt;=Creditos!$H$12),MIN(J373,MAX(0,N373-K373-H373)),"")</f>
        <v/>
      </c>
      <c r="P373" s="48" t="str">
        <f>IF(AND(Creditos!$C$12&lt;&gt;"",Creditos!$M$12="OK",8&lt;=Creditos!$H$12),MAX(0,L373-N373),"")</f>
        <v/>
      </c>
      <c r="Q373" s="50" t="str">
        <f>IF(AND(Creditos!$C$12&lt;&gt;"",Creditos!$M$12="OK",8&lt;=Creditos!$H$12),IF(AND(E373&lt;Supuestos!$D$6,P373&gt;0.005),Supuestos!$D$6-E373,0),"")</f>
        <v/>
      </c>
      <c r="R373" s="48" t="str">
        <f>IF(AND(Creditos!$C$12&lt;&gt;"",Creditos!$M$12="OK",8&lt;=Creditos!$H$12),MAX(0,N373-L373),"")</f>
        <v/>
      </c>
      <c r="S373" s="46" t="str">
        <f>IF(AND(Creditos!$C$12&lt;&gt;"",Creditos!$M$12="OK",8&lt;=Creditos!$H$12),IF(R373&gt;0.005,"Exceso sin imputar",IF(P373&lt;=0.005,"Pagada",IF(E373&lt;Supuestos!$D$6,"Vencida",IF(E373=Supuestos!$D$6,"Vence hoy","Por vencer")))),"")</f>
        <v/>
      </c>
      <c r="T373" s="46">
        <f>IF(AND(Creditos!$C$12&lt;&gt;"",Creditos!$M$12="OK",8&lt;=Creditos!$H$12),IF(P373&gt;0.005,E373,999999),999999)</f>
        <v>999999</v>
      </c>
    </row>
    <row r="374" ht="25.5" customHeight="1">
      <c r="C374" s="46" t="str">
        <f>IF(AND(Creditos!$C$12&lt;&gt;"",Creditos!$M$12="OK",9&lt;=Creditos!$H$12),Creditos!$C$12,"")</f>
        <v/>
      </c>
      <c r="D374" s="46" t="str">
        <f>IF(AND(Creditos!$C$12&lt;&gt;"",Creditos!$M$12="OK",9&lt;=Creditos!$H$12),9,"")</f>
        <v/>
      </c>
      <c r="E374" s="47" t="str">
        <f>IF(AND(Creditos!$C$12&lt;&gt;"",Creditos!$M$12="OK",9&lt;=Creditos!$H$12),EDATE(Creditos!$I$12,8),"")</f>
        <v/>
      </c>
      <c r="F374" s="48" t="str">
        <f>IF(AND(Creditos!$C$12&lt;&gt;"",Creditos!$M$12="OK",9&lt;=Creditos!$H$12),M373,"")</f>
        <v/>
      </c>
      <c r="G374" s="49" t="str">
        <f>IF(AND(Creditos!$C$12&lt;&gt;"",Creditos!$M$12="OK",9&lt;=Creditos!$H$12),Creditos!$N$12,"")</f>
        <v/>
      </c>
      <c r="H374" s="48" t="str">
        <f>IF(AND(Creditos!$C$12&lt;&gt;"",Creditos!$M$12="OK",9&lt;=Creditos!$H$12),ROUND(F374*G374,2),"")</f>
        <v/>
      </c>
      <c r="I374" s="48" t="str">
        <f>IF(AND(Creditos!$C$12&lt;&gt;"",Creditos!$M$12="OK",9&lt;=Creditos!$H$12),IF(9=Creditos!$H$12,F374+H374,MIN(Creditos!$O$12,F374+H374)),"")</f>
        <v/>
      </c>
      <c r="J374" s="48" t="str">
        <f>IF(AND(Creditos!$C$12&lt;&gt;"",Creditos!$M$12="OK",9&lt;=Creditos!$H$12),MIN(F374,MAX(0,I374-H374)),"")</f>
        <v/>
      </c>
      <c r="K374" s="48" t="str">
        <f>IF(AND(Creditos!$C$12&lt;&gt;"",Creditos!$M$12="OK",9&lt;=Creditos!$H$12),Creditos!$J$12+Creditos!$K$12,"")</f>
        <v/>
      </c>
      <c r="L374" s="48" t="str">
        <f>IF(AND(Creditos!$C$12&lt;&gt;"",Creditos!$M$12="OK",9&lt;=Creditos!$H$12),I374+K374,"")</f>
        <v/>
      </c>
      <c r="M374" s="48" t="str">
        <f>IF(AND(Creditos!$C$12&lt;&gt;"",Creditos!$M$12="OK",9&lt;=Creditos!$H$12),MAX(0,F374-J374),"")</f>
        <v/>
      </c>
      <c r="N374" s="48" t="str">
        <f>IF(AND(Creditos!$C$12&lt;&gt;"",Creditos!$M$12="OK",9&lt;=Creditos!$H$12),SUMIFS(Pagos!$F$6:$F$305,Pagos!$C$6:$C$305,C374,Pagos!$D$6:$D$305,D374,Pagos!$E$6:$E$305,"&lt;="&amp;Supuestos!$D$6,Pagos!$H$6:$H$305,"OK"),"")</f>
        <v/>
      </c>
      <c r="O374" s="48" t="str">
        <f>IF(AND(Creditos!$C$12&lt;&gt;"",Creditos!$M$12="OK",9&lt;=Creditos!$H$12),MIN(J374,MAX(0,N374-K374-H374)),"")</f>
        <v/>
      </c>
      <c r="P374" s="48" t="str">
        <f>IF(AND(Creditos!$C$12&lt;&gt;"",Creditos!$M$12="OK",9&lt;=Creditos!$H$12),MAX(0,L374-N374),"")</f>
        <v/>
      </c>
      <c r="Q374" s="50" t="str">
        <f>IF(AND(Creditos!$C$12&lt;&gt;"",Creditos!$M$12="OK",9&lt;=Creditos!$H$12),IF(AND(E374&lt;Supuestos!$D$6,P374&gt;0.005),Supuestos!$D$6-E374,0),"")</f>
        <v/>
      </c>
      <c r="R374" s="48" t="str">
        <f>IF(AND(Creditos!$C$12&lt;&gt;"",Creditos!$M$12="OK",9&lt;=Creditos!$H$12),MAX(0,N374-L374),"")</f>
        <v/>
      </c>
      <c r="S374" s="46" t="str">
        <f>IF(AND(Creditos!$C$12&lt;&gt;"",Creditos!$M$12="OK",9&lt;=Creditos!$H$12),IF(R374&gt;0.005,"Exceso sin imputar",IF(P374&lt;=0.005,"Pagada",IF(E374&lt;Supuestos!$D$6,"Vencida",IF(E374=Supuestos!$D$6,"Vence hoy","Por vencer")))),"")</f>
        <v/>
      </c>
      <c r="T374" s="46">
        <f>IF(AND(Creditos!$C$12&lt;&gt;"",Creditos!$M$12="OK",9&lt;=Creditos!$H$12),IF(P374&gt;0.005,E374,999999),999999)</f>
        <v>999999</v>
      </c>
    </row>
    <row r="375" ht="25.5" customHeight="1">
      <c r="C375" s="46" t="str">
        <f>IF(AND(Creditos!$C$12&lt;&gt;"",Creditos!$M$12="OK",10&lt;=Creditos!$H$12),Creditos!$C$12,"")</f>
        <v/>
      </c>
      <c r="D375" s="46" t="str">
        <f>IF(AND(Creditos!$C$12&lt;&gt;"",Creditos!$M$12="OK",10&lt;=Creditos!$H$12),10,"")</f>
        <v/>
      </c>
      <c r="E375" s="47" t="str">
        <f>IF(AND(Creditos!$C$12&lt;&gt;"",Creditos!$M$12="OK",10&lt;=Creditos!$H$12),EDATE(Creditos!$I$12,9),"")</f>
        <v/>
      </c>
      <c r="F375" s="48" t="str">
        <f>IF(AND(Creditos!$C$12&lt;&gt;"",Creditos!$M$12="OK",10&lt;=Creditos!$H$12),M374,"")</f>
        <v/>
      </c>
      <c r="G375" s="49" t="str">
        <f>IF(AND(Creditos!$C$12&lt;&gt;"",Creditos!$M$12="OK",10&lt;=Creditos!$H$12),Creditos!$N$12,"")</f>
        <v/>
      </c>
      <c r="H375" s="48" t="str">
        <f>IF(AND(Creditos!$C$12&lt;&gt;"",Creditos!$M$12="OK",10&lt;=Creditos!$H$12),ROUND(F375*G375,2),"")</f>
        <v/>
      </c>
      <c r="I375" s="48" t="str">
        <f>IF(AND(Creditos!$C$12&lt;&gt;"",Creditos!$M$12="OK",10&lt;=Creditos!$H$12),IF(10=Creditos!$H$12,F375+H375,MIN(Creditos!$O$12,F375+H375)),"")</f>
        <v/>
      </c>
      <c r="J375" s="48" t="str">
        <f>IF(AND(Creditos!$C$12&lt;&gt;"",Creditos!$M$12="OK",10&lt;=Creditos!$H$12),MIN(F375,MAX(0,I375-H375)),"")</f>
        <v/>
      </c>
      <c r="K375" s="48" t="str">
        <f>IF(AND(Creditos!$C$12&lt;&gt;"",Creditos!$M$12="OK",10&lt;=Creditos!$H$12),Creditos!$J$12+Creditos!$K$12,"")</f>
        <v/>
      </c>
      <c r="L375" s="48" t="str">
        <f>IF(AND(Creditos!$C$12&lt;&gt;"",Creditos!$M$12="OK",10&lt;=Creditos!$H$12),I375+K375,"")</f>
        <v/>
      </c>
      <c r="M375" s="48" t="str">
        <f>IF(AND(Creditos!$C$12&lt;&gt;"",Creditos!$M$12="OK",10&lt;=Creditos!$H$12),MAX(0,F375-J375),"")</f>
        <v/>
      </c>
      <c r="N375" s="48" t="str">
        <f>IF(AND(Creditos!$C$12&lt;&gt;"",Creditos!$M$12="OK",10&lt;=Creditos!$H$12),SUMIFS(Pagos!$F$6:$F$305,Pagos!$C$6:$C$305,C375,Pagos!$D$6:$D$305,D375,Pagos!$E$6:$E$305,"&lt;="&amp;Supuestos!$D$6,Pagos!$H$6:$H$305,"OK"),"")</f>
        <v/>
      </c>
      <c r="O375" s="48" t="str">
        <f>IF(AND(Creditos!$C$12&lt;&gt;"",Creditos!$M$12="OK",10&lt;=Creditos!$H$12),MIN(J375,MAX(0,N375-K375-H375)),"")</f>
        <v/>
      </c>
      <c r="P375" s="48" t="str">
        <f>IF(AND(Creditos!$C$12&lt;&gt;"",Creditos!$M$12="OK",10&lt;=Creditos!$H$12),MAX(0,L375-N375),"")</f>
        <v/>
      </c>
      <c r="Q375" s="50" t="str">
        <f>IF(AND(Creditos!$C$12&lt;&gt;"",Creditos!$M$12="OK",10&lt;=Creditos!$H$12),IF(AND(E375&lt;Supuestos!$D$6,P375&gt;0.005),Supuestos!$D$6-E375,0),"")</f>
        <v/>
      </c>
      <c r="R375" s="48" t="str">
        <f>IF(AND(Creditos!$C$12&lt;&gt;"",Creditos!$M$12="OK",10&lt;=Creditos!$H$12),MAX(0,N375-L375),"")</f>
        <v/>
      </c>
      <c r="S375" s="46" t="str">
        <f>IF(AND(Creditos!$C$12&lt;&gt;"",Creditos!$M$12="OK",10&lt;=Creditos!$H$12),IF(R375&gt;0.005,"Exceso sin imputar",IF(P375&lt;=0.005,"Pagada",IF(E375&lt;Supuestos!$D$6,"Vencida",IF(E375=Supuestos!$D$6,"Vence hoy","Por vencer")))),"")</f>
        <v/>
      </c>
      <c r="T375" s="46">
        <f>IF(AND(Creditos!$C$12&lt;&gt;"",Creditos!$M$12="OK",10&lt;=Creditos!$H$12),IF(P375&gt;0.005,E375,999999),999999)</f>
        <v>999999</v>
      </c>
    </row>
    <row r="376" ht="25.5" customHeight="1">
      <c r="C376" s="46" t="str">
        <f>IF(AND(Creditos!$C$12&lt;&gt;"",Creditos!$M$12="OK",11&lt;=Creditos!$H$12),Creditos!$C$12,"")</f>
        <v/>
      </c>
      <c r="D376" s="46" t="str">
        <f>IF(AND(Creditos!$C$12&lt;&gt;"",Creditos!$M$12="OK",11&lt;=Creditos!$H$12),11,"")</f>
        <v/>
      </c>
      <c r="E376" s="47" t="str">
        <f>IF(AND(Creditos!$C$12&lt;&gt;"",Creditos!$M$12="OK",11&lt;=Creditos!$H$12),EDATE(Creditos!$I$12,10),"")</f>
        <v/>
      </c>
      <c r="F376" s="48" t="str">
        <f>IF(AND(Creditos!$C$12&lt;&gt;"",Creditos!$M$12="OK",11&lt;=Creditos!$H$12),M375,"")</f>
        <v/>
      </c>
      <c r="G376" s="49" t="str">
        <f>IF(AND(Creditos!$C$12&lt;&gt;"",Creditos!$M$12="OK",11&lt;=Creditos!$H$12),Creditos!$N$12,"")</f>
        <v/>
      </c>
      <c r="H376" s="48" t="str">
        <f>IF(AND(Creditos!$C$12&lt;&gt;"",Creditos!$M$12="OK",11&lt;=Creditos!$H$12),ROUND(F376*G376,2),"")</f>
        <v/>
      </c>
      <c r="I376" s="48" t="str">
        <f>IF(AND(Creditos!$C$12&lt;&gt;"",Creditos!$M$12="OK",11&lt;=Creditos!$H$12),IF(11=Creditos!$H$12,F376+H376,MIN(Creditos!$O$12,F376+H376)),"")</f>
        <v/>
      </c>
      <c r="J376" s="48" t="str">
        <f>IF(AND(Creditos!$C$12&lt;&gt;"",Creditos!$M$12="OK",11&lt;=Creditos!$H$12),MIN(F376,MAX(0,I376-H376)),"")</f>
        <v/>
      </c>
      <c r="K376" s="48" t="str">
        <f>IF(AND(Creditos!$C$12&lt;&gt;"",Creditos!$M$12="OK",11&lt;=Creditos!$H$12),Creditos!$J$12+Creditos!$K$12,"")</f>
        <v/>
      </c>
      <c r="L376" s="48" t="str">
        <f>IF(AND(Creditos!$C$12&lt;&gt;"",Creditos!$M$12="OK",11&lt;=Creditos!$H$12),I376+K376,"")</f>
        <v/>
      </c>
      <c r="M376" s="48" t="str">
        <f>IF(AND(Creditos!$C$12&lt;&gt;"",Creditos!$M$12="OK",11&lt;=Creditos!$H$12),MAX(0,F376-J376),"")</f>
        <v/>
      </c>
      <c r="N376" s="48" t="str">
        <f>IF(AND(Creditos!$C$12&lt;&gt;"",Creditos!$M$12="OK",11&lt;=Creditos!$H$12),SUMIFS(Pagos!$F$6:$F$305,Pagos!$C$6:$C$305,C376,Pagos!$D$6:$D$305,D376,Pagos!$E$6:$E$305,"&lt;="&amp;Supuestos!$D$6,Pagos!$H$6:$H$305,"OK"),"")</f>
        <v/>
      </c>
      <c r="O376" s="48" t="str">
        <f>IF(AND(Creditos!$C$12&lt;&gt;"",Creditos!$M$12="OK",11&lt;=Creditos!$H$12),MIN(J376,MAX(0,N376-K376-H376)),"")</f>
        <v/>
      </c>
      <c r="P376" s="48" t="str">
        <f>IF(AND(Creditos!$C$12&lt;&gt;"",Creditos!$M$12="OK",11&lt;=Creditos!$H$12),MAX(0,L376-N376),"")</f>
        <v/>
      </c>
      <c r="Q376" s="50" t="str">
        <f>IF(AND(Creditos!$C$12&lt;&gt;"",Creditos!$M$12="OK",11&lt;=Creditos!$H$12),IF(AND(E376&lt;Supuestos!$D$6,P376&gt;0.005),Supuestos!$D$6-E376,0),"")</f>
        <v/>
      </c>
      <c r="R376" s="48" t="str">
        <f>IF(AND(Creditos!$C$12&lt;&gt;"",Creditos!$M$12="OK",11&lt;=Creditos!$H$12),MAX(0,N376-L376),"")</f>
        <v/>
      </c>
      <c r="S376" s="46" t="str">
        <f>IF(AND(Creditos!$C$12&lt;&gt;"",Creditos!$M$12="OK",11&lt;=Creditos!$H$12),IF(R376&gt;0.005,"Exceso sin imputar",IF(P376&lt;=0.005,"Pagada",IF(E376&lt;Supuestos!$D$6,"Vencida",IF(E376=Supuestos!$D$6,"Vence hoy","Por vencer")))),"")</f>
        <v/>
      </c>
      <c r="T376" s="46">
        <f>IF(AND(Creditos!$C$12&lt;&gt;"",Creditos!$M$12="OK",11&lt;=Creditos!$H$12),IF(P376&gt;0.005,E376,999999),999999)</f>
        <v>999999</v>
      </c>
    </row>
    <row r="377" ht="25.5" customHeight="1">
      <c r="C377" s="46" t="str">
        <f>IF(AND(Creditos!$C$12&lt;&gt;"",Creditos!$M$12="OK",12&lt;=Creditos!$H$12),Creditos!$C$12,"")</f>
        <v/>
      </c>
      <c r="D377" s="46" t="str">
        <f>IF(AND(Creditos!$C$12&lt;&gt;"",Creditos!$M$12="OK",12&lt;=Creditos!$H$12),12,"")</f>
        <v/>
      </c>
      <c r="E377" s="47" t="str">
        <f>IF(AND(Creditos!$C$12&lt;&gt;"",Creditos!$M$12="OK",12&lt;=Creditos!$H$12),EDATE(Creditos!$I$12,11),"")</f>
        <v/>
      </c>
      <c r="F377" s="48" t="str">
        <f>IF(AND(Creditos!$C$12&lt;&gt;"",Creditos!$M$12="OK",12&lt;=Creditos!$H$12),M376,"")</f>
        <v/>
      </c>
      <c r="G377" s="49" t="str">
        <f>IF(AND(Creditos!$C$12&lt;&gt;"",Creditos!$M$12="OK",12&lt;=Creditos!$H$12),Creditos!$N$12,"")</f>
        <v/>
      </c>
      <c r="H377" s="48" t="str">
        <f>IF(AND(Creditos!$C$12&lt;&gt;"",Creditos!$M$12="OK",12&lt;=Creditos!$H$12),ROUND(F377*G377,2),"")</f>
        <v/>
      </c>
      <c r="I377" s="48" t="str">
        <f>IF(AND(Creditos!$C$12&lt;&gt;"",Creditos!$M$12="OK",12&lt;=Creditos!$H$12),IF(12=Creditos!$H$12,F377+H377,MIN(Creditos!$O$12,F377+H377)),"")</f>
        <v/>
      </c>
      <c r="J377" s="48" t="str">
        <f>IF(AND(Creditos!$C$12&lt;&gt;"",Creditos!$M$12="OK",12&lt;=Creditos!$H$12),MIN(F377,MAX(0,I377-H377)),"")</f>
        <v/>
      </c>
      <c r="K377" s="48" t="str">
        <f>IF(AND(Creditos!$C$12&lt;&gt;"",Creditos!$M$12="OK",12&lt;=Creditos!$H$12),Creditos!$J$12+Creditos!$K$12,"")</f>
        <v/>
      </c>
      <c r="L377" s="48" t="str">
        <f>IF(AND(Creditos!$C$12&lt;&gt;"",Creditos!$M$12="OK",12&lt;=Creditos!$H$12),I377+K377,"")</f>
        <v/>
      </c>
      <c r="M377" s="48" t="str">
        <f>IF(AND(Creditos!$C$12&lt;&gt;"",Creditos!$M$12="OK",12&lt;=Creditos!$H$12),MAX(0,F377-J377),"")</f>
        <v/>
      </c>
      <c r="N377" s="48" t="str">
        <f>IF(AND(Creditos!$C$12&lt;&gt;"",Creditos!$M$12="OK",12&lt;=Creditos!$H$12),SUMIFS(Pagos!$F$6:$F$305,Pagos!$C$6:$C$305,C377,Pagos!$D$6:$D$305,D377,Pagos!$E$6:$E$305,"&lt;="&amp;Supuestos!$D$6,Pagos!$H$6:$H$305,"OK"),"")</f>
        <v/>
      </c>
      <c r="O377" s="48" t="str">
        <f>IF(AND(Creditos!$C$12&lt;&gt;"",Creditos!$M$12="OK",12&lt;=Creditos!$H$12),MIN(J377,MAX(0,N377-K377-H377)),"")</f>
        <v/>
      </c>
      <c r="P377" s="48" t="str">
        <f>IF(AND(Creditos!$C$12&lt;&gt;"",Creditos!$M$12="OK",12&lt;=Creditos!$H$12),MAX(0,L377-N377),"")</f>
        <v/>
      </c>
      <c r="Q377" s="50" t="str">
        <f>IF(AND(Creditos!$C$12&lt;&gt;"",Creditos!$M$12="OK",12&lt;=Creditos!$H$12),IF(AND(E377&lt;Supuestos!$D$6,P377&gt;0.005),Supuestos!$D$6-E377,0),"")</f>
        <v/>
      </c>
      <c r="R377" s="48" t="str">
        <f>IF(AND(Creditos!$C$12&lt;&gt;"",Creditos!$M$12="OK",12&lt;=Creditos!$H$12),MAX(0,N377-L377),"")</f>
        <v/>
      </c>
      <c r="S377" s="46" t="str">
        <f>IF(AND(Creditos!$C$12&lt;&gt;"",Creditos!$M$12="OK",12&lt;=Creditos!$H$12),IF(R377&gt;0.005,"Exceso sin imputar",IF(P377&lt;=0.005,"Pagada",IF(E377&lt;Supuestos!$D$6,"Vencida",IF(E377=Supuestos!$D$6,"Vence hoy","Por vencer")))),"")</f>
        <v/>
      </c>
      <c r="T377" s="46">
        <f>IF(AND(Creditos!$C$12&lt;&gt;"",Creditos!$M$12="OK",12&lt;=Creditos!$H$12),IF(P377&gt;0.005,E377,999999),999999)</f>
        <v>999999</v>
      </c>
    </row>
    <row r="378" ht="25.5" customHeight="1">
      <c r="C378" s="46" t="str">
        <f>IF(AND(Creditos!$C$12&lt;&gt;"",Creditos!$M$12="OK",13&lt;=Creditos!$H$12),Creditos!$C$12,"")</f>
        <v/>
      </c>
      <c r="D378" s="46" t="str">
        <f>IF(AND(Creditos!$C$12&lt;&gt;"",Creditos!$M$12="OK",13&lt;=Creditos!$H$12),13,"")</f>
        <v/>
      </c>
      <c r="E378" s="47" t="str">
        <f>IF(AND(Creditos!$C$12&lt;&gt;"",Creditos!$M$12="OK",13&lt;=Creditos!$H$12),EDATE(Creditos!$I$12,12),"")</f>
        <v/>
      </c>
      <c r="F378" s="48" t="str">
        <f>IF(AND(Creditos!$C$12&lt;&gt;"",Creditos!$M$12="OK",13&lt;=Creditos!$H$12),M377,"")</f>
        <v/>
      </c>
      <c r="G378" s="49" t="str">
        <f>IF(AND(Creditos!$C$12&lt;&gt;"",Creditos!$M$12="OK",13&lt;=Creditos!$H$12),Creditos!$N$12,"")</f>
        <v/>
      </c>
      <c r="H378" s="48" t="str">
        <f>IF(AND(Creditos!$C$12&lt;&gt;"",Creditos!$M$12="OK",13&lt;=Creditos!$H$12),ROUND(F378*G378,2),"")</f>
        <v/>
      </c>
      <c r="I378" s="48" t="str">
        <f>IF(AND(Creditos!$C$12&lt;&gt;"",Creditos!$M$12="OK",13&lt;=Creditos!$H$12),IF(13=Creditos!$H$12,F378+H378,MIN(Creditos!$O$12,F378+H378)),"")</f>
        <v/>
      </c>
      <c r="J378" s="48" t="str">
        <f>IF(AND(Creditos!$C$12&lt;&gt;"",Creditos!$M$12="OK",13&lt;=Creditos!$H$12),MIN(F378,MAX(0,I378-H378)),"")</f>
        <v/>
      </c>
      <c r="K378" s="48" t="str">
        <f>IF(AND(Creditos!$C$12&lt;&gt;"",Creditos!$M$12="OK",13&lt;=Creditos!$H$12),Creditos!$J$12+Creditos!$K$12,"")</f>
        <v/>
      </c>
      <c r="L378" s="48" t="str">
        <f>IF(AND(Creditos!$C$12&lt;&gt;"",Creditos!$M$12="OK",13&lt;=Creditos!$H$12),I378+K378,"")</f>
        <v/>
      </c>
      <c r="M378" s="48" t="str">
        <f>IF(AND(Creditos!$C$12&lt;&gt;"",Creditos!$M$12="OK",13&lt;=Creditos!$H$12),MAX(0,F378-J378),"")</f>
        <v/>
      </c>
      <c r="N378" s="48" t="str">
        <f>IF(AND(Creditos!$C$12&lt;&gt;"",Creditos!$M$12="OK",13&lt;=Creditos!$H$12),SUMIFS(Pagos!$F$6:$F$305,Pagos!$C$6:$C$305,C378,Pagos!$D$6:$D$305,D378,Pagos!$E$6:$E$305,"&lt;="&amp;Supuestos!$D$6,Pagos!$H$6:$H$305,"OK"),"")</f>
        <v/>
      </c>
      <c r="O378" s="48" t="str">
        <f>IF(AND(Creditos!$C$12&lt;&gt;"",Creditos!$M$12="OK",13&lt;=Creditos!$H$12),MIN(J378,MAX(0,N378-K378-H378)),"")</f>
        <v/>
      </c>
      <c r="P378" s="48" t="str">
        <f>IF(AND(Creditos!$C$12&lt;&gt;"",Creditos!$M$12="OK",13&lt;=Creditos!$H$12),MAX(0,L378-N378),"")</f>
        <v/>
      </c>
      <c r="Q378" s="50" t="str">
        <f>IF(AND(Creditos!$C$12&lt;&gt;"",Creditos!$M$12="OK",13&lt;=Creditos!$H$12),IF(AND(E378&lt;Supuestos!$D$6,P378&gt;0.005),Supuestos!$D$6-E378,0),"")</f>
        <v/>
      </c>
      <c r="R378" s="48" t="str">
        <f>IF(AND(Creditos!$C$12&lt;&gt;"",Creditos!$M$12="OK",13&lt;=Creditos!$H$12),MAX(0,N378-L378),"")</f>
        <v/>
      </c>
      <c r="S378" s="46" t="str">
        <f>IF(AND(Creditos!$C$12&lt;&gt;"",Creditos!$M$12="OK",13&lt;=Creditos!$H$12),IF(R378&gt;0.005,"Exceso sin imputar",IF(P378&lt;=0.005,"Pagada",IF(E378&lt;Supuestos!$D$6,"Vencida",IF(E378=Supuestos!$D$6,"Vence hoy","Por vencer")))),"")</f>
        <v/>
      </c>
      <c r="T378" s="46">
        <f>IF(AND(Creditos!$C$12&lt;&gt;"",Creditos!$M$12="OK",13&lt;=Creditos!$H$12),IF(P378&gt;0.005,E378,999999),999999)</f>
        <v>999999</v>
      </c>
    </row>
    <row r="379" ht="25.5" customHeight="1">
      <c r="C379" s="46" t="str">
        <f>IF(AND(Creditos!$C$12&lt;&gt;"",Creditos!$M$12="OK",14&lt;=Creditos!$H$12),Creditos!$C$12,"")</f>
        <v/>
      </c>
      <c r="D379" s="46" t="str">
        <f>IF(AND(Creditos!$C$12&lt;&gt;"",Creditos!$M$12="OK",14&lt;=Creditos!$H$12),14,"")</f>
        <v/>
      </c>
      <c r="E379" s="47" t="str">
        <f>IF(AND(Creditos!$C$12&lt;&gt;"",Creditos!$M$12="OK",14&lt;=Creditos!$H$12),EDATE(Creditos!$I$12,13),"")</f>
        <v/>
      </c>
      <c r="F379" s="48" t="str">
        <f>IF(AND(Creditos!$C$12&lt;&gt;"",Creditos!$M$12="OK",14&lt;=Creditos!$H$12),M378,"")</f>
        <v/>
      </c>
      <c r="G379" s="49" t="str">
        <f>IF(AND(Creditos!$C$12&lt;&gt;"",Creditos!$M$12="OK",14&lt;=Creditos!$H$12),Creditos!$N$12,"")</f>
        <v/>
      </c>
      <c r="H379" s="48" t="str">
        <f>IF(AND(Creditos!$C$12&lt;&gt;"",Creditos!$M$12="OK",14&lt;=Creditos!$H$12),ROUND(F379*G379,2),"")</f>
        <v/>
      </c>
      <c r="I379" s="48" t="str">
        <f>IF(AND(Creditos!$C$12&lt;&gt;"",Creditos!$M$12="OK",14&lt;=Creditos!$H$12),IF(14=Creditos!$H$12,F379+H379,MIN(Creditos!$O$12,F379+H379)),"")</f>
        <v/>
      </c>
      <c r="J379" s="48" t="str">
        <f>IF(AND(Creditos!$C$12&lt;&gt;"",Creditos!$M$12="OK",14&lt;=Creditos!$H$12),MIN(F379,MAX(0,I379-H379)),"")</f>
        <v/>
      </c>
      <c r="K379" s="48" t="str">
        <f>IF(AND(Creditos!$C$12&lt;&gt;"",Creditos!$M$12="OK",14&lt;=Creditos!$H$12),Creditos!$J$12+Creditos!$K$12,"")</f>
        <v/>
      </c>
      <c r="L379" s="48" t="str">
        <f>IF(AND(Creditos!$C$12&lt;&gt;"",Creditos!$M$12="OK",14&lt;=Creditos!$H$12),I379+K379,"")</f>
        <v/>
      </c>
      <c r="M379" s="48" t="str">
        <f>IF(AND(Creditos!$C$12&lt;&gt;"",Creditos!$M$12="OK",14&lt;=Creditos!$H$12),MAX(0,F379-J379),"")</f>
        <v/>
      </c>
      <c r="N379" s="48" t="str">
        <f>IF(AND(Creditos!$C$12&lt;&gt;"",Creditos!$M$12="OK",14&lt;=Creditos!$H$12),SUMIFS(Pagos!$F$6:$F$305,Pagos!$C$6:$C$305,C379,Pagos!$D$6:$D$305,D379,Pagos!$E$6:$E$305,"&lt;="&amp;Supuestos!$D$6,Pagos!$H$6:$H$305,"OK"),"")</f>
        <v/>
      </c>
      <c r="O379" s="48" t="str">
        <f>IF(AND(Creditos!$C$12&lt;&gt;"",Creditos!$M$12="OK",14&lt;=Creditos!$H$12),MIN(J379,MAX(0,N379-K379-H379)),"")</f>
        <v/>
      </c>
      <c r="P379" s="48" t="str">
        <f>IF(AND(Creditos!$C$12&lt;&gt;"",Creditos!$M$12="OK",14&lt;=Creditos!$H$12),MAX(0,L379-N379),"")</f>
        <v/>
      </c>
      <c r="Q379" s="50" t="str">
        <f>IF(AND(Creditos!$C$12&lt;&gt;"",Creditos!$M$12="OK",14&lt;=Creditos!$H$12),IF(AND(E379&lt;Supuestos!$D$6,P379&gt;0.005),Supuestos!$D$6-E379,0),"")</f>
        <v/>
      </c>
      <c r="R379" s="48" t="str">
        <f>IF(AND(Creditos!$C$12&lt;&gt;"",Creditos!$M$12="OK",14&lt;=Creditos!$H$12),MAX(0,N379-L379),"")</f>
        <v/>
      </c>
      <c r="S379" s="46" t="str">
        <f>IF(AND(Creditos!$C$12&lt;&gt;"",Creditos!$M$12="OK",14&lt;=Creditos!$H$12),IF(R379&gt;0.005,"Exceso sin imputar",IF(P379&lt;=0.005,"Pagada",IF(E379&lt;Supuestos!$D$6,"Vencida",IF(E379=Supuestos!$D$6,"Vence hoy","Por vencer")))),"")</f>
        <v/>
      </c>
      <c r="T379" s="46">
        <f>IF(AND(Creditos!$C$12&lt;&gt;"",Creditos!$M$12="OK",14&lt;=Creditos!$H$12),IF(P379&gt;0.005,E379,999999),999999)</f>
        <v>999999</v>
      </c>
    </row>
    <row r="380" ht="25.5" customHeight="1">
      <c r="C380" s="46" t="str">
        <f>IF(AND(Creditos!$C$12&lt;&gt;"",Creditos!$M$12="OK",15&lt;=Creditos!$H$12),Creditos!$C$12,"")</f>
        <v/>
      </c>
      <c r="D380" s="46" t="str">
        <f>IF(AND(Creditos!$C$12&lt;&gt;"",Creditos!$M$12="OK",15&lt;=Creditos!$H$12),15,"")</f>
        <v/>
      </c>
      <c r="E380" s="47" t="str">
        <f>IF(AND(Creditos!$C$12&lt;&gt;"",Creditos!$M$12="OK",15&lt;=Creditos!$H$12),EDATE(Creditos!$I$12,14),"")</f>
        <v/>
      </c>
      <c r="F380" s="48" t="str">
        <f>IF(AND(Creditos!$C$12&lt;&gt;"",Creditos!$M$12="OK",15&lt;=Creditos!$H$12),M379,"")</f>
        <v/>
      </c>
      <c r="G380" s="49" t="str">
        <f>IF(AND(Creditos!$C$12&lt;&gt;"",Creditos!$M$12="OK",15&lt;=Creditos!$H$12),Creditos!$N$12,"")</f>
        <v/>
      </c>
      <c r="H380" s="48" t="str">
        <f>IF(AND(Creditos!$C$12&lt;&gt;"",Creditos!$M$12="OK",15&lt;=Creditos!$H$12),ROUND(F380*G380,2),"")</f>
        <v/>
      </c>
      <c r="I380" s="48" t="str">
        <f>IF(AND(Creditos!$C$12&lt;&gt;"",Creditos!$M$12="OK",15&lt;=Creditos!$H$12),IF(15=Creditos!$H$12,F380+H380,MIN(Creditos!$O$12,F380+H380)),"")</f>
        <v/>
      </c>
      <c r="J380" s="48" t="str">
        <f>IF(AND(Creditos!$C$12&lt;&gt;"",Creditos!$M$12="OK",15&lt;=Creditos!$H$12),MIN(F380,MAX(0,I380-H380)),"")</f>
        <v/>
      </c>
      <c r="K380" s="48" t="str">
        <f>IF(AND(Creditos!$C$12&lt;&gt;"",Creditos!$M$12="OK",15&lt;=Creditos!$H$12),Creditos!$J$12+Creditos!$K$12,"")</f>
        <v/>
      </c>
      <c r="L380" s="48" t="str">
        <f>IF(AND(Creditos!$C$12&lt;&gt;"",Creditos!$M$12="OK",15&lt;=Creditos!$H$12),I380+K380,"")</f>
        <v/>
      </c>
      <c r="M380" s="48" t="str">
        <f>IF(AND(Creditos!$C$12&lt;&gt;"",Creditos!$M$12="OK",15&lt;=Creditos!$H$12),MAX(0,F380-J380),"")</f>
        <v/>
      </c>
      <c r="N380" s="48" t="str">
        <f>IF(AND(Creditos!$C$12&lt;&gt;"",Creditos!$M$12="OK",15&lt;=Creditos!$H$12),SUMIFS(Pagos!$F$6:$F$305,Pagos!$C$6:$C$305,C380,Pagos!$D$6:$D$305,D380,Pagos!$E$6:$E$305,"&lt;="&amp;Supuestos!$D$6,Pagos!$H$6:$H$305,"OK"),"")</f>
        <v/>
      </c>
      <c r="O380" s="48" t="str">
        <f>IF(AND(Creditos!$C$12&lt;&gt;"",Creditos!$M$12="OK",15&lt;=Creditos!$H$12),MIN(J380,MAX(0,N380-K380-H380)),"")</f>
        <v/>
      </c>
      <c r="P380" s="48" t="str">
        <f>IF(AND(Creditos!$C$12&lt;&gt;"",Creditos!$M$12="OK",15&lt;=Creditos!$H$12),MAX(0,L380-N380),"")</f>
        <v/>
      </c>
      <c r="Q380" s="50" t="str">
        <f>IF(AND(Creditos!$C$12&lt;&gt;"",Creditos!$M$12="OK",15&lt;=Creditos!$H$12),IF(AND(E380&lt;Supuestos!$D$6,P380&gt;0.005),Supuestos!$D$6-E380,0),"")</f>
        <v/>
      </c>
      <c r="R380" s="48" t="str">
        <f>IF(AND(Creditos!$C$12&lt;&gt;"",Creditos!$M$12="OK",15&lt;=Creditos!$H$12),MAX(0,N380-L380),"")</f>
        <v/>
      </c>
      <c r="S380" s="46" t="str">
        <f>IF(AND(Creditos!$C$12&lt;&gt;"",Creditos!$M$12="OK",15&lt;=Creditos!$H$12),IF(R380&gt;0.005,"Exceso sin imputar",IF(P380&lt;=0.005,"Pagada",IF(E380&lt;Supuestos!$D$6,"Vencida",IF(E380=Supuestos!$D$6,"Vence hoy","Por vencer")))),"")</f>
        <v/>
      </c>
      <c r="T380" s="46">
        <f>IF(AND(Creditos!$C$12&lt;&gt;"",Creditos!$M$12="OK",15&lt;=Creditos!$H$12),IF(P380&gt;0.005,E380,999999),999999)</f>
        <v>999999</v>
      </c>
    </row>
    <row r="381" ht="25.5" customHeight="1">
      <c r="C381" s="46" t="str">
        <f>IF(AND(Creditos!$C$12&lt;&gt;"",Creditos!$M$12="OK",16&lt;=Creditos!$H$12),Creditos!$C$12,"")</f>
        <v/>
      </c>
      <c r="D381" s="46" t="str">
        <f>IF(AND(Creditos!$C$12&lt;&gt;"",Creditos!$M$12="OK",16&lt;=Creditos!$H$12),16,"")</f>
        <v/>
      </c>
      <c r="E381" s="47" t="str">
        <f>IF(AND(Creditos!$C$12&lt;&gt;"",Creditos!$M$12="OK",16&lt;=Creditos!$H$12),EDATE(Creditos!$I$12,15),"")</f>
        <v/>
      </c>
      <c r="F381" s="48" t="str">
        <f>IF(AND(Creditos!$C$12&lt;&gt;"",Creditos!$M$12="OK",16&lt;=Creditos!$H$12),M380,"")</f>
        <v/>
      </c>
      <c r="G381" s="49" t="str">
        <f>IF(AND(Creditos!$C$12&lt;&gt;"",Creditos!$M$12="OK",16&lt;=Creditos!$H$12),Creditos!$N$12,"")</f>
        <v/>
      </c>
      <c r="H381" s="48" t="str">
        <f>IF(AND(Creditos!$C$12&lt;&gt;"",Creditos!$M$12="OK",16&lt;=Creditos!$H$12),ROUND(F381*G381,2),"")</f>
        <v/>
      </c>
      <c r="I381" s="48" t="str">
        <f>IF(AND(Creditos!$C$12&lt;&gt;"",Creditos!$M$12="OK",16&lt;=Creditos!$H$12),IF(16=Creditos!$H$12,F381+H381,MIN(Creditos!$O$12,F381+H381)),"")</f>
        <v/>
      </c>
      <c r="J381" s="48" t="str">
        <f>IF(AND(Creditos!$C$12&lt;&gt;"",Creditos!$M$12="OK",16&lt;=Creditos!$H$12),MIN(F381,MAX(0,I381-H381)),"")</f>
        <v/>
      </c>
      <c r="K381" s="48" t="str">
        <f>IF(AND(Creditos!$C$12&lt;&gt;"",Creditos!$M$12="OK",16&lt;=Creditos!$H$12),Creditos!$J$12+Creditos!$K$12,"")</f>
        <v/>
      </c>
      <c r="L381" s="48" t="str">
        <f>IF(AND(Creditos!$C$12&lt;&gt;"",Creditos!$M$12="OK",16&lt;=Creditos!$H$12),I381+K381,"")</f>
        <v/>
      </c>
      <c r="M381" s="48" t="str">
        <f>IF(AND(Creditos!$C$12&lt;&gt;"",Creditos!$M$12="OK",16&lt;=Creditos!$H$12),MAX(0,F381-J381),"")</f>
        <v/>
      </c>
      <c r="N381" s="48" t="str">
        <f>IF(AND(Creditos!$C$12&lt;&gt;"",Creditos!$M$12="OK",16&lt;=Creditos!$H$12),SUMIFS(Pagos!$F$6:$F$305,Pagos!$C$6:$C$305,C381,Pagos!$D$6:$D$305,D381,Pagos!$E$6:$E$305,"&lt;="&amp;Supuestos!$D$6,Pagos!$H$6:$H$305,"OK"),"")</f>
        <v/>
      </c>
      <c r="O381" s="48" t="str">
        <f>IF(AND(Creditos!$C$12&lt;&gt;"",Creditos!$M$12="OK",16&lt;=Creditos!$H$12),MIN(J381,MAX(0,N381-K381-H381)),"")</f>
        <v/>
      </c>
      <c r="P381" s="48" t="str">
        <f>IF(AND(Creditos!$C$12&lt;&gt;"",Creditos!$M$12="OK",16&lt;=Creditos!$H$12),MAX(0,L381-N381),"")</f>
        <v/>
      </c>
      <c r="Q381" s="50" t="str">
        <f>IF(AND(Creditos!$C$12&lt;&gt;"",Creditos!$M$12="OK",16&lt;=Creditos!$H$12),IF(AND(E381&lt;Supuestos!$D$6,P381&gt;0.005),Supuestos!$D$6-E381,0),"")</f>
        <v/>
      </c>
      <c r="R381" s="48" t="str">
        <f>IF(AND(Creditos!$C$12&lt;&gt;"",Creditos!$M$12="OK",16&lt;=Creditos!$H$12),MAX(0,N381-L381),"")</f>
        <v/>
      </c>
      <c r="S381" s="46" t="str">
        <f>IF(AND(Creditos!$C$12&lt;&gt;"",Creditos!$M$12="OK",16&lt;=Creditos!$H$12),IF(R381&gt;0.005,"Exceso sin imputar",IF(P381&lt;=0.005,"Pagada",IF(E381&lt;Supuestos!$D$6,"Vencida",IF(E381=Supuestos!$D$6,"Vence hoy","Por vencer")))),"")</f>
        <v/>
      </c>
      <c r="T381" s="46">
        <f>IF(AND(Creditos!$C$12&lt;&gt;"",Creditos!$M$12="OK",16&lt;=Creditos!$H$12),IF(P381&gt;0.005,E381,999999),999999)</f>
        <v>999999</v>
      </c>
    </row>
    <row r="382" ht="25.5" customHeight="1">
      <c r="C382" s="46" t="str">
        <f>IF(AND(Creditos!$C$12&lt;&gt;"",Creditos!$M$12="OK",17&lt;=Creditos!$H$12),Creditos!$C$12,"")</f>
        <v/>
      </c>
      <c r="D382" s="46" t="str">
        <f>IF(AND(Creditos!$C$12&lt;&gt;"",Creditos!$M$12="OK",17&lt;=Creditos!$H$12),17,"")</f>
        <v/>
      </c>
      <c r="E382" s="47" t="str">
        <f>IF(AND(Creditos!$C$12&lt;&gt;"",Creditos!$M$12="OK",17&lt;=Creditos!$H$12),EDATE(Creditos!$I$12,16),"")</f>
        <v/>
      </c>
      <c r="F382" s="48" t="str">
        <f>IF(AND(Creditos!$C$12&lt;&gt;"",Creditos!$M$12="OK",17&lt;=Creditos!$H$12),M381,"")</f>
        <v/>
      </c>
      <c r="G382" s="49" t="str">
        <f>IF(AND(Creditos!$C$12&lt;&gt;"",Creditos!$M$12="OK",17&lt;=Creditos!$H$12),Creditos!$N$12,"")</f>
        <v/>
      </c>
      <c r="H382" s="48" t="str">
        <f>IF(AND(Creditos!$C$12&lt;&gt;"",Creditos!$M$12="OK",17&lt;=Creditos!$H$12),ROUND(F382*G382,2),"")</f>
        <v/>
      </c>
      <c r="I382" s="48" t="str">
        <f>IF(AND(Creditos!$C$12&lt;&gt;"",Creditos!$M$12="OK",17&lt;=Creditos!$H$12),IF(17=Creditos!$H$12,F382+H382,MIN(Creditos!$O$12,F382+H382)),"")</f>
        <v/>
      </c>
      <c r="J382" s="48" t="str">
        <f>IF(AND(Creditos!$C$12&lt;&gt;"",Creditos!$M$12="OK",17&lt;=Creditos!$H$12),MIN(F382,MAX(0,I382-H382)),"")</f>
        <v/>
      </c>
      <c r="K382" s="48" t="str">
        <f>IF(AND(Creditos!$C$12&lt;&gt;"",Creditos!$M$12="OK",17&lt;=Creditos!$H$12),Creditos!$J$12+Creditos!$K$12,"")</f>
        <v/>
      </c>
      <c r="L382" s="48" t="str">
        <f>IF(AND(Creditos!$C$12&lt;&gt;"",Creditos!$M$12="OK",17&lt;=Creditos!$H$12),I382+K382,"")</f>
        <v/>
      </c>
      <c r="M382" s="48" t="str">
        <f>IF(AND(Creditos!$C$12&lt;&gt;"",Creditos!$M$12="OK",17&lt;=Creditos!$H$12),MAX(0,F382-J382),"")</f>
        <v/>
      </c>
      <c r="N382" s="48" t="str">
        <f>IF(AND(Creditos!$C$12&lt;&gt;"",Creditos!$M$12="OK",17&lt;=Creditos!$H$12),SUMIFS(Pagos!$F$6:$F$305,Pagos!$C$6:$C$305,C382,Pagos!$D$6:$D$305,D382,Pagos!$E$6:$E$305,"&lt;="&amp;Supuestos!$D$6,Pagos!$H$6:$H$305,"OK"),"")</f>
        <v/>
      </c>
      <c r="O382" s="48" t="str">
        <f>IF(AND(Creditos!$C$12&lt;&gt;"",Creditos!$M$12="OK",17&lt;=Creditos!$H$12),MIN(J382,MAX(0,N382-K382-H382)),"")</f>
        <v/>
      </c>
      <c r="P382" s="48" t="str">
        <f>IF(AND(Creditos!$C$12&lt;&gt;"",Creditos!$M$12="OK",17&lt;=Creditos!$H$12),MAX(0,L382-N382),"")</f>
        <v/>
      </c>
      <c r="Q382" s="50" t="str">
        <f>IF(AND(Creditos!$C$12&lt;&gt;"",Creditos!$M$12="OK",17&lt;=Creditos!$H$12),IF(AND(E382&lt;Supuestos!$D$6,P382&gt;0.005),Supuestos!$D$6-E382,0),"")</f>
        <v/>
      </c>
      <c r="R382" s="48" t="str">
        <f>IF(AND(Creditos!$C$12&lt;&gt;"",Creditos!$M$12="OK",17&lt;=Creditos!$H$12),MAX(0,N382-L382),"")</f>
        <v/>
      </c>
      <c r="S382" s="46" t="str">
        <f>IF(AND(Creditos!$C$12&lt;&gt;"",Creditos!$M$12="OK",17&lt;=Creditos!$H$12),IF(R382&gt;0.005,"Exceso sin imputar",IF(P382&lt;=0.005,"Pagada",IF(E382&lt;Supuestos!$D$6,"Vencida",IF(E382=Supuestos!$D$6,"Vence hoy","Por vencer")))),"")</f>
        <v/>
      </c>
      <c r="T382" s="46">
        <f>IF(AND(Creditos!$C$12&lt;&gt;"",Creditos!$M$12="OK",17&lt;=Creditos!$H$12),IF(P382&gt;0.005,E382,999999),999999)</f>
        <v>999999</v>
      </c>
    </row>
    <row r="383" ht="25.5" customHeight="1">
      <c r="C383" s="46" t="str">
        <f>IF(AND(Creditos!$C$12&lt;&gt;"",Creditos!$M$12="OK",18&lt;=Creditos!$H$12),Creditos!$C$12,"")</f>
        <v/>
      </c>
      <c r="D383" s="46" t="str">
        <f>IF(AND(Creditos!$C$12&lt;&gt;"",Creditos!$M$12="OK",18&lt;=Creditos!$H$12),18,"")</f>
        <v/>
      </c>
      <c r="E383" s="47" t="str">
        <f>IF(AND(Creditos!$C$12&lt;&gt;"",Creditos!$M$12="OK",18&lt;=Creditos!$H$12),EDATE(Creditos!$I$12,17),"")</f>
        <v/>
      </c>
      <c r="F383" s="48" t="str">
        <f>IF(AND(Creditos!$C$12&lt;&gt;"",Creditos!$M$12="OK",18&lt;=Creditos!$H$12),M382,"")</f>
        <v/>
      </c>
      <c r="G383" s="49" t="str">
        <f>IF(AND(Creditos!$C$12&lt;&gt;"",Creditos!$M$12="OK",18&lt;=Creditos!$H$12),Creditos!$N$12,"")</f>
        <v/>
      </c>
      <c r="H383" s="48" t="str">
        <f>IF(AND(Creditos!$C$12&lt;&gt;"",Creditos!$M$12="OK",18&lt;=Creditos!$H$12),ROUND(F383*G383,2),"")</f>
        <v/>
      </c>
      <c r="I383" s="48" t="str">
        <f>IF(AND(Creditos!$C$12&lt;&gt;"",Creditos!$M$12="OK",18&lt;=Creditos!$H$12),IF(18=Creditos!$H$12,F383+H383,MIN(Creditos!$O$12,F383+H383)),"")</f>
        <v/>
      </c>
      <c r="J383" s="48" t="str">
        <f>IF(AND(Creditos!$C$12&lt;&gt;"",Creditos!$M$12="OK",18&lt;=Creditos!$H$12),MIN(F383,MAX(0,I383-H383)),"")</f>
        <v/>
      </c>
      <c r="K383" s="48" t="str">
        <f>IF(AND(Creditos!$C$12&lt;&gt;"",Creditos!$M$12="OK",18&lt;=Creditos!$H$12),Creditos!$J$12+Creditos!$K$12,"")</f>
        <v/>
      </c>
      <c r="L383" s="48" t="str">
        <f>IF(AND(Creditos!$C$12&lt;&gt;"",Creditos!$M$12="OK",18&lt;=Creditos!$H$12),I383+K383,"")</f>
        <v/>
      </c>
      <c r="M383" s="48" t="str">
        <f>IF(AND(Creditos!$C$12&lt;&gt;"",Creditos!$M$12="OK",18&lt;=Creditos!$H$12),MAX(0,F383-J383),"")</f>
        <v/>
      </c>
      <c r="N383" s="48" t="str">
        <f>IF(AND(Creditos!$C$12&lt;&gt;"",Creditos!$M$12="OK",18&lt;=Creditos!$H$12),SUMIFS(Pagos!$F$6:$F$305,Pagos!$C$6:$C$305,C383,Pagos!$D$6:$D$305,D383,Pagos!$E$6:$E$305,"&lt;="&amp;Supuestos!$D$6,Pagos!$H$6:$H$305,"OK"),"")</f>
        <v/>
      </c>
      <c r="O383" s="48" t="str">
        <f>IF(AND(Creditos!$C$12&lt;&gt;"",Creditos!$M$12="OK",18&lt;=Creditos!$H$12),MIN(J383,MAX(0,N383-K383-H383)),"")</f>
        <v/>
      </c>
      <c r="P383" s="48" t="str">
        <f>IF(AND(Creditos!$C$12&lt;&gt;"",Creditos!$M$12="OK",18&lt;=Creditos!$H$12),MAX(0,L383-N383),"")</f>
        <v/>
      </c>
      <c r="Q383" s="50" t="str">
        <f>IF(AND(Creditos!$C$12&lt;&gt;"",Creditos!$M$12="OK",18&lt;=Creditos!$H$12),IF(AND(E383&lt;Supuestos!$D$6,P383&gt;0.005),Supuestos!$D$6-E383,0),"")</f>
        <v/>
      </c>
      <c r="R383" s="48" t="str">
        <f>IF(AND(Creditos!$C$12&lt;&gt;"",Creditos!$M$12="OK",18&lt;=Creditos!$H$12),MAX(0,N383-L383),"")</f>
        <v/>
      </c>
      <c r="S383" s="46" t="str">
        <f>IF(AND(Creditos!$C$12&lt;&gt;"",Creditos!$M$12="OK",18&lt;=Creditos!$H$12),IF(R383&gt;0.005,"Exceso sin imputar",IF(P383&lt;=0.005,"Pagada",IF(E383&lt;Supuestos!$D$6,"Vencida",IF(E383=Supuestos!$D$6,"Vence hoy","Por vencer")))),"")</f>
        <v/>
      </c>
      <c r="T383" s="46">
        <f>IF(AND(Creditos!$C$12&lt;&gt;"",Creditos!$M$12="OK",18&lt;=Creditos!$H$12),IF(P383&gt;0.005,E383,999999),999999)</f>
        <v>999999</v>
      </c>
    </row>
    <row r="384" ht="25.5" customHeight="1">
      <c r="C384" s="46" t="str">
        <f>IF(AND(Creditos!$C$12&lt;&gt;"",Creditos!$M$12="OK",19&lt;=Creditos!$H$12),Creditos!$C$12,"")</f>
        <v/>
      </c>
      <c r="D384" s="46" t="str">
        <f>IF(AND(Creditos!$C$12&lt;&gt;"",Creditos!$M$12="OK",19&lt;=Creditos!$H$12),19,"")</f>
        <v/>
      </c>
      <c r="E384" s="47" t="str">
        <f>IF(AND(Creditos!$C$12&lt;&gt;"",Creditos!$M$12="OK",19&lt;=Creditos!$H$12),EDATE(Creditos!$I$12,18),"")</f>
        <v/>
      </c>
      <c r="F384" s="48" t="str">
        <f>IF(AND(Creditos!$C$12&lt;&gt;"",Creditos!$M$12="OK",19&lt;=Creditos!$H$12),M383,"")</f>
        <v/>
      </c>
      <c r="G384" s="49" t="str">
        <f>IF(AND(Creditos!$C$12&lt;&gt;"",Creditos!$M$12="OK",19&lt;=Creditos!$H$12),Creditos!$N$12,"")</f>
        <v/>
      </c>
      <c r="H384" s="48" t="str">
        <f>IF(AND(Creditos!$C$12&lt;&gt;"",Creditos!$M$12="OK",19&lt;=Creditos!$H$12),ROUND(F384*G384,2),"")</f>
        <v/>
      </c>
      <c r="I384" s="48" t="str">
        <f>IF(AND(Creditos!$C$12&lt;&gt;"",Creditos!$M$12="OK",19&lt;=Creditos!$H$12),IF(19=Creditos!$H$12,F384+H384,MIN(Creditos!$O$12,F384+H384)),"")</f>
        <v/>
      </c>
      <c r="J384" s="48" t="str">
        <f>IF(AND(Creditos!$C$12&lt;&gt;"",Creditos!$M$12="OK",19&lt;=Creditos!$H$12),MIN(F384,MAX(0,I384-H384)),"")</f>
        <v/>
      </c>
      <c r="K384" s="48" t="str">
        <f>IF(AND(Creditos!$C$12&lt;&gt;"",Creditos!$M$12="OK",19&lt;=Creditos!$H$12),Creditos!$J$12+Creditos!$K$12,"")</f>
        <v/>
      </c>
      <c r="L384" s="48" t="str">
        <f>IF(AND(Creditos!$C$12&lt;&gt;"",Creditos!$M$12="OK",19&lt;=Creditos!$H$12),I384+K384,"")</f>
        <v/>
      </c>
      <c r="M384" s="48" t="str">
        <f>IF(AND(Creditos!$C$12&lt;&gt;"",Creditos!$M$12="OK",19&lt;=Creditos!$H$12),MAX(0,F384-J384),"")</f>
        <v/>
      </c>
      <c r="N384" s="48" t="str">
        <f>IF(AND(Creditos!$C$12&lt;&gt;"",Creditos!$M$12="OK",19&lt;=Creditos!$H$12),SUMIFS(Pagos!$F$6:$F$305,Pagos!$C$6:$C$305,C384,Pagos!$D$6:$D$305,D384,Pagos!$E$6:$E$305,"&lt;="&amp;Supuestos!$D$6,Pagos!$H$6:$H$305,"OK"),"")</f>
        <v/>
      </c>
      <c r="O384" s="48" t="str">
        <f>IF(AND(Creditos!$C$12&lt;&gt;"",Creditos!$M$12="OK",19&lt;=Creditos!$H$12),MIN(J384,MAX(0,N384-K384-H384)),"")</f>
        <v/>
      </c>
      <c r="P384" s="48" t="str">
        <f>IF(AND(Creditos!$C$12&lt;&gt;"",Creditos!$M$12="OK",19&lt;=Creditos!$H$12),MAX(0,L384-N384),"")</f>
        <v/>
      </c>
      <c r="Q384" s="50" t="str">
        <f>IF(AND(Creditos!$C$12&lt;&gt;"",Creditos!$M$12="OK",19&lt;=Creditos!$H$12),IF(AND(E384&lt;Supuestos!$D$6,P384&gt;0.005),Supuestos!$D$6-E384,0),"")</f>
        <v/>
      </c>
      <c r="R384" s="48" t="str">
        <f>IF(AND(Creditos!$C$12&lt;&gt;"",Creditos!$M$12="OK",19&lt;=Creditos!$H$12),MAX(0,N384-L384),"")</f>
        <v/>
      </c>
      <c r="S384" s="46" t="str">
        <f>IF(AND(Creditos!$C$12&lt;&gt;"",Creditos!$M$12="OK",19&lt;=Creditos!$H$12),IF(R384&gt;0.005,"Exceso sin imputar",IF(P384&lt;=0.005,"Pagada",IF(E384&lt;Supuestos!$D$6,"Vencida",IF(E384=Supuestos!$D$6,"Vence hoy","Por vencer")))),"")</f>
        <v/>
      </c>
      <c r="T384" s="46">
        <f>IF(AND(Creditos!$C$12&lt;&gt;"",Creditos!$M$12="OK",19&lt;=Creditos!$H$12),IF(P384&gt;0.005,E384,999999),999999)</f>
        <v>999999</v>
      </c>
    </row>
    <row r="385" ht="25.5" customHeight="1">
      <c r="C385" s="46" t="str">
        <f>IF(AND(Creditos!$C$12&lt;&gt;"",Creditos!$M$12="OK",20&lt;=Creditos!$H$12),Creditos!$C$12,"")</f>
        <v/>
      </c>
      <c r="D385" s="46" t="str">
        <f>IF(AND(Creditos!$C$12&lt;&gt;"",Creditos!$M$12="OK",20&lt;=Creditos!$H$12),20,"")</f>
        <v/>
      </c>
      <c r="E385" s="47" t="str">
        <f>IF(AND(Creditos!$C$12&lt;&gt;"",Creditos!$M$12="OK",20&lt;=Creditos!$H$12),EDATE(Creditos!$I$12,19),"")</f>
        <v/>
      </c>
      <c r="F385" s="48" t="str">
        <f>IF(AND(Creditos!$C$12&lt;&gt;"",Creditos!$M$12="OK",20&lt;=Creditos!$H$12),M384,"")</f>
        <v/>
      </c>
      <c r="G385" s="49" t="str">
        <f>IF(AND(Creditos!$C$12&lt;&gt;"",Creditos!$M$12="OK",20&lt;=Creditos!$H$12),Creditos!$N$12,"")</f>
        <v/>
      </c>
      <c r="H385" s="48" t="str">
        <f>IF(AND(Creditos!$C$12&lt;&gt;"",Creditos!$M$12="OK",20&lt;=Creditos!$H$12),ROUND(F385*G385,2),"")</f>
        <v/>
      </c>
      <c r="I385" s="48" t="str">
        <f>IF(AND(Creditos!$C$12&lt;&gt;"",Creditos!$M$12="OK",20&lt;=Creditos!$H$12),IF(20=Creditos!$H$12,F385+H385,MIN(Creditos!$O$12,F385+H385)),"")</f>
        <v/>
      </c>
      <c r="J385" s="48" t="str">
        <f>IF(AND(Creditos!$C$12&lt;&gt;"",Creditos!$M$12="OK",20&lt;=Creditos!$H$12),MIN(F385,MAX(0,I385-H385)),"")</f>
        <v/>
      </c>
      <c r="K385" s="48" t="str">
        <f>IF(AND(Creditos!$C$12&lt;&gt;"",Creditos!$M$12="OK",20&lt;=Creditos!$H$12),Creditos!$J$12+Creditos!$K$12,"")</f>
        <v/>
      </c>
      <c r="L385" s="48" t="str">
        <f>IF(AND(Creditos!$C$12&lt;&gt;"",Creditos!$M$12="OK",20&lt;=Creditos!$H$12),I385+K385,"")</f>
        <v/>
      </c>
      <c r="M385" s="48" t="str">
        <f>IF(AND(Creditos!$C$12&lt;&gt;"",Creditos!$M$12="OK",20&lt;=Creditos!$H$12),MAX(0,F385-J385),"")</f>
        <v/>
      </c>
      <c r="N385" s="48" t="str">
        <f>IF(AND(Creditos!$C$12&lt;&gt;"",Creditos!$M$12="OK",20&lt;=Creditos!$H$12),SUMIFS(Pagos!$F$6:$F$305,Pagos!$C$6:$C$305,C385,Pagos!$D$6:$D$305,D385,Pagos!$E$6:$E$305,"&lt;="&amp;Supuestos!$D$6,Pagos!$H$6:$H$305,"OK"),"")</f>
        <v/>
      </c>
      <c r="O385" s="48" t="str">
        <f>IF(AND(Creditos!$C$12&lt;&gt;"",Creditos!$M$12="OK",20&lt;=Creditos!$H$12),MIN(J385,MAX(0,N385-K385-H385)),"")</f>
        <v/>
      </c>
      <c r="P385" s="48" t="str">
        <f>IF(AND(Creditos!$C$12&lt;&gt;"",Creditos!$M$12="OK",20&lt;=Creditos!$H$12),MAX(0,L385-N385),"")</f>
        <v/>
      </c>
      <c r="Q385" s="50" t="str">
        <f>IF(AND(Creditos!$C$12&lt;&gt;"",Creditos!$M$12="OK",20&lt;=Creditos!$H$12),IF(AND(E385&lt;Supuestos!$D$6,P385&gt;0.005),Supuestos!$D$6-E385,0),"")</f>
        <v/>
      </c>
      <c r="R385" s="48" t="str">
        <f>IF(AND(Creditos!$C$12&lt;&gt;"",Creditos!$M$12="OK",20&lt;=Creditos!$H$12),MAX(0,N385-L385),"")</f>
        <v/>
      </c>
      <c r="S385" s="46" t="str">
        <f>IF(AND(Creditos!$C$12&lt;&gt;"",Creditos!$M$12="OK",20&lt;=Creditos!$H$12),IF(R385&gt;0.005,"Exceso sin imputar",IF(P385&lt;=0.005,"Pagada",IF(E385&lt;Supuestos!$D$6,"Vencida",IF(E385=Supuestos!$D$6,"Vence hoy","Por vencer")))),"")</f>
        <v/>
      </c>
      <c r="T385" s="46">
        <f>IF(AND(Creditos!$C$12&lt;&gt;"",Creditos!$M$12="OK",20&lt;=Creditos!$H$12),IF(P385&gt;0.005,E385,999999),999999)</f>
        <v>999999</v>
      </c>
    </row>
    <row r="386" ht="25.5" customHeight="1">
      <c r="C386" s="46" t="str">
        <f>IF(AND(Creditos!$C$12&lt;&gt;"",Creditos!$M$12="OK",21&lt;=Creditos!$H$12),Creditos!$C$12,"")</f>
        <v/>
      </c>
      <c r="D386" s="46" t="str">
        <f>IF(AND(Creditos!$C$12&lt;&gt;"",Creditos!$M$12="OK",21&lt;=Creditos!$H$12),21,"")</f>
        <v/>
      </c>
      <c r="E386" s="47" t="str">
        <f>IF(AND(Creditos!$C$12&lt;&gt;"",Creditos!$M$12="OK",21&lt;=Creditos!$H$12),EDATE(Creditos!$I$12,20),"")</f>
        <v/>
      </c>
      <c r="F386" s="48" t="str">
        <f>IF(AND(Creditos!$C$12&lt;&gt;"",Creditos!$M$12="OK",21&lt;=Creditos!$H$12),M385,"")</f>
        <v/>
      </c>
      <c r="G386" s="49" t="str">
        <f>IF(AND(Creditos!$C$12&lt;&gt;"",Creditos!$M$12="OK",21&lt;=Creditos!$H$12),Creditos!$N$12,"")</f>
        <v/>
      </c>
      <c r="H386" s="48" t="str">
        <f>IF(AND(Creditos!$C$12&lt;&gt;"",Creditos!$M$12="OK",21&lt;=Creditos!$H$12),ROUND(F386*G386,2),"")</f>
        <v/>
      </c>
      <c r="I386" s="48" t="str">
        <f>IF(AND(Creditos!$C$12&lt;&gt;"",Creditos!$M$12="OK",21&lt;=Creditos!$H$12),IF(21=Creditos!$H$12,F386+H386,MIN(Creditos!$O$12,F386+H386)),"")</f>
        <v/>
      </c>
      <c r="J386" s="48" t="str">
        <f>IF(AND(Creditos!$C$12&lt;&gt;"",Creditos!$M$12="OK",21&lt;=Creditos!$H$12),MIN(F386,MAX(0,I386-H386)),"")</f>
        <v/>
      </c>
      <c r="K386" s="48" t="str">
        <f>IF(AND(Creditos!$C$12&lt;&gt;"",Creditos!$M$12="OK",21&lt;=Creditos!$H$12),Creditos!$J$12+Creditos!$K$12,"")</f>
        <v/>
      </c>
      <c r="L386" s="48" t="str">
        <f>IF(AND(Creditos!$C$12&lt;&gt;"",Creditos!$M$12="OK",21&lt;=Creditos!$H$12),I386+K386,"")</f>
        <v/>
      </c>
      <c r="M386" s="48" t="str">
        <f>IF(AND(Creditos!$C$12&lt;&gt;"",Creditos!$M$12="OK",21&lt;=Creditos!$H$12),MAX(0,F386-J386),"")</f>
        <v/>
      </c>
      <c r="N386" s="48" t="str">
        <f>IF(AND(Creditos!$C$12&lt;&gt;"",Creditos!$M$12="OK",21&lt;=Creditos!$H$12),SUMIFS(Pagos!$F$6:$F$305,Pagos!$C$6:$C$305,C386,Pagos!$D$6:$D$305,D386,Pagos!$E$6:$E$305,"&lt;="&amp;Supuestos!$D$6,Pagos!$H$6:$H$305,"OK"),"")</f>
        <v/>
      </c>
      <c r="O386" s="48" t="str">
        <f>IF(AND(Creditos!$C$12&lt;&gt;"",Creditos!$M$12="OK",21&lt;=Creditos!$H$12),MIN(J386,MAX(0,N386-K386-H386)),"")</f>
        <v/>
      </c>
      <c r="P386" s="48" t="str">
        <f>IF(AND(Creditos!$C$12&lt;&gt;"",Creditos!$M$12="OK",21&lt;=Creditos!$H$12),MAX(0,L386-N386),"")</f>
        <v/>
      </c>
      <c r="Q386" s="50" t="str">
        <f>IF(AND(Creditos!$C$12&lt;&gt;"",Creditos!$M$12="OK",21&lt;=Creditos!$H$12),IF(AND(E386&lt;Supuestos!$D$6,P386&gt;0.005),Supuestos!$D$6-E386,0),"")</f>
        <v/>
      </c>
      <c r="R386" s="48" t="str">
        <f>IF(AND(Creditos!$C$12&lt;&gt;"",Creditos!$M$12="OK",21&lt;=Creditos!$H$12),MAX(0,N386-L386),"")</f>
        <v/>
      </c>
      <c r="S386" s="46" t="str">
        <f>IF(AND(Creditos!$C$12&lt;&gt;"",Creditos!$M$12="OK",21&lt;=Creditos!$H$12),IF(R386&gt;0.005,"Exceso sin imputar",IF(P386&lt;=0.005,"Pagada",IF(E386&lt;Supuestos!$D$6,"Vencida",IF(E386=Supuestos!$D$6,"Vence hoy","Por vencer")))),"")</f>
        <v/>
      </c>
      <c r="T386" s="46">
        <f>IF(AND(Creditos!$C$12&lt;&gt;"",Creditos!$M$12="OK",21&lt;=Creditos!$H$12),IF(P386&gt;0.005,E386,999999),999999)</f>
        <v>999999</v>
      </c>
    </row>
    <row r="387" ht="25.5" customHeight="1">
      <c r="C387" s="46" t="str">
        <f>IF(AND(Creditos!$C$12&lt;&gt;"",Creditos!$M$12="OK",22&lt;=Creditos!$H$12),Creditos!$C$12,"")</f>
        <v/>
      </c>
      <c r="D387" s="46" t="str">
        <f>IF(AND(Creditos!$C$12&lt;&gt;"",Creditos!$M$12="OK",22&lt;=Creditos!$H$12),22,"")</f>
        <v/>
      </c>
      <c r="E387" s="47" t="str">
        <f>IF(AND(Creditos!$C$12&lt;&gt;"",Creditos!$M$12="OK",22&lt;=Creditos!$H$12),EDATE(Creditos!$I$12,21),"")</f>
        <v/>
      </c>
      <c r="F387" s="48" t="str">
        <f>IF(AND(Creditos!$C$12&lt;&gt;"",Creditos!$M$12="OK",22&lt;=Creditos!$H$12),M386,"")</f>
        <v/>
      </c>
      <c r="G387" s="49" t="str">
        <f>IF(AND(Creditos!$C$12&lt;&gt;"",Creditos!$M$12="OK",22&lt;=Creditos!$H$12),Creditos!$N$12,"")</f>
        <v/>
      </c>
      <c r="H387" s="48" t="str">
        <f>IF(AND(Creditos!$C$12&lt;&gt;"",Creditos!$M$12="OK",22&lt;=Creditos!$H$12),ROUND(F387*G387,2),"")</f>
        <v/>
      </c>
      <c r="I387" s="48" t="str">
        <f>IF(AND(Creditos!$C$12&lt;&gt;"",Creditos!$M$12="OK",22&lt;=Creditos!$H$12),IF(22=Creditos!$H$12,F387+H387,MIN(Creditos!$O$12,F387+H387)),"")</f>
        <v/>
      </c>
      <c r="J387" s="48" t="str">
        <f>IF(AND(Creditos!$C$12&lt;&gt;"",Creditos!$M$12="OK",22&lt;=Creditos!$H$12),MIN(F387,MAX(0,I387-H387)),"")</f>
        <v/>
      </c>
      <c r="K387" s="48" t="str">
        <f>IF(AND(Creditos!$C$12&lt;&gt;"",Creditos!$M$12="OK",22&lt;=Creditos!$H$12),Creditos!$J$12+Creditos!$K$12,"")</f>
        <v/>
      </c>
      <c r="L387" s="48" t="str">
        <f>IF(AND(Creditos!$C$12&lt;&gt;"",Creditos!$M$12="OK",22&lt;=Creditos!$H$12),I387+K387,"")</f>
        <v/>
      </c>
      <c r="M387" s="48" t="str">
        <f>IF(AND(Creditos!$C$12&lt;&gt;"",Creditos!$M$12="OK",22&lt;=Creditos!$H$12),MAX(0,F387-J387),"")</f>
        <v/>
      </c>
      <c r="N387" s="48" t="str">
        <f>IF(AND(Creditos!$C$12&lt;&gt;"",Creditos!$M$12="OK",22&lt;=Creditos!$H$12),SUMIFS(Pagos!$F$6:$F$305,Pagos!$C$6:$C$305,C387,Pagos!$D$6:$D$305,D387,Pagos!$E$6:$E$305,"&lt;="&amp;Supuestos!$D$6,Pagos!$H$6:$H$305,"OK"),"")</f>
        <v/>
      </c>
      <c r="O387" s="48" t="str">
        <f>IF(AND(Creditos!$C$12&lt;&gt;"",Creditos!$M$12="OK",22&lt;=Creditos!$H$12),MIN(J387,MAX(0,N387-K387-H387)),"")</f>
        <v/>
      </c>
      <c r="P387" s="48" t="str">
        <f>IF(AND(Creditos!$C$12&lt;&gt;"",Creditos!$M$12="OK",22&lt;=Creditos!$H$12),MAX(0,L387-N387),"")</f>
        <v/>
      </c>
      <c r="Q387" s="50" t="str">
        <f>IF(AND(Creditos!$C$12&lt;&gt;"",Creditos!$M$12="OK",22&lt;=Creditos!$H$12),IF(AND(E387&lt;Supuestos!$D$6,P387&gt;0.005),Supuestos!$D$6-E387,0),"")</f>
        <v/>
      </c>
      <c r="R387" s="48" t="str">
        <f>IF(AND(Creditos!$C$12&lt;&gt;"",Creditos!$M$12="OK",22&lt;=Creditos!$H$12),MAX(0,N387-L387),"")</f>
        <v/>
      </c>
      <c r="S387" s="46" t="str">
        <f>IF(AND(Creditos!$C$12&lt;&gt;"",Creditos!$M$12="OK",22&lt;=Creditos!$H$12),IF(R387&gt;0.005,"Exceso sin imputar",IF(P387&lt;=0.005,"Pagada",IF(E387&lt;Supuestos!$D$6,"Vencida",IF(E387=Supuestos!$D$6,"Vence hoy","Por vencer")))),"")</f>
        <v/>
      </c>
      <c r="T387" s="46">
        <f>IF(AND(Creditos!$C$12&lt;&gt;"",Creditos!$M$12="OK",22&lt;=Creditos!$H$12),IF(P387&gt;0.005,E387,999999),999999)</f>
        <v>999999</v>
      </c>
    </row>
    <row r="388" ht="25.5" customHeight="1">
      <c r="C388" s="46" t="str">
        <f>IF(AND(Creditos!$C$12&lt;&gt;"",Creditos!$M$12="OK",23&lt;=Creditos!$H$12),Creditos!$C$12,"")</f>
        <v/>
      </c>
      <c r="D388" s="46" t="str">
        <f>IF(AND(Creditos!$C$12&lt;&gt;"",Creditos!$M$12="OK",23&lt;=Creditos!$H$12),23,"")</f>
        <v/>
      </c>
      <c r="E388" s="47" t="str">
        <f>IF(AND(Creditos!$C$12&lt;&gt;"",Creditos!$M$12="OK",23&lt;=Creditos!$H$12),EDATE(Creditos!$I$12,22),"")</f>
        <v/>
      </c>
      <c r="F388" s="48" t="str">
        <f>IF(AND(Creditos!$C$12&lt;&gt;"",Creditos!$M$12="OK",23&lt;=Creditos!$H$12),M387,"")</f>
        <v/>
      </c>
      <c r="G388" s="49" t="str">
        <f>IF(AND(Creditos!$C$12&lt;&gt;"",Creditos!$M$12="OK",23&lt;=Creditos!$H$12),Creditos!$N$12,"")</f>
        <v/>
      </c>
      <c r="H388" s="48" t="str">
        <f>IF(AND(Creditos!$C$12&lt;&gt;"",Creditos!$M$12="OK",23&lt;=Creditos!$H$12),ROUND(F388*G388,2),"")</f>
        <v/>
      </c>
      <c r="I388" s="48" t="str">
        <f>IF(AND(Creditos!$C$12&lt;&gt;"",Creditos!$M$12="OK",23&lt;=Creditos!$H$12),IF(23=Creditos!$H$12,F388+H388,MIN(Creditos!$O$12,F388+H388)),"")</f>
        <v/>
      </c>
      <c r="J388" s="48" t="str">
        <f>IF(AND(Creditos!$C$12&lt;&gt;"",Creditos!$M$12="OK",23&lt;=Creditos!$H$12),MIN(F388,MAX(0,I388-H388)),"")</f>
        <v/>
      </c>
      <c r="K388" s="48" t="str">
        <f>IF(AND(Creditos!$C$12&lt;&gt;"",Creditos!$M$12="OK",23&lt;=Creditos!$H$12),Creditos!$J$12+Creditos!$K$12,"")</f>
        <v/>
      </c>
      <c r="L388" s="48" t="str">
        <f>IF(AND(Creditos!$C$12&lt;&gt;"",Creditos!$M$12="OK",23&lt;=Creditos!$H$12),I388+K388,"")</f>
        <v/>
      </c>
      <c r="M388" s="48" t="str">
        <f>IF(AND(Creditos!$C$12&lt;&gt;"",Creditos!$M$12="OK",23&lt;=Creditos!$H$12),MAX(0,F388-J388),"")</f>
        <v/>
      </c>
      <c r="N388" s="48" t="str">
        <f>IF(AND(Creditos!$C$12&lt;&gt;"",Creditos!$M$12="OK",23&lt;=Creditos!$H$12),SUMIFS(Pagos!$F$6:$F$305,Pagos!$C$6:$C$305,C388,Pagos!$D$6:$D$305,D388,Pagos!$E$6:$E$305,"&lt;="&amp;Supuestos!$D$6,Pagos!$H$6:$H$305,"OK"),"")</f>
        <v/>
      </c>
      <c r="O388" s="48" t="str">
        <f>IF(AND(Creditos!$C$12&lt;&gt;"",Creditos!$M$12="OK",23&lt;=Creditos!$H$12),MIN(J388,MAX(0,N388-K388-H388)),"")</f>
        <v/>
      </c>
      <c r="P388" s="48" t="str">
        <f>IF(AND(Creditos!$C$12&lt;&gt;"",Creditos!$M$12="OK",23&lt;=Creditos!$H$12),MAX(0,L388-N388),"")</f>
        <v/>
      </c>
      <c r="Q388" s="50" t="str">
        <f>IF(AND(Creditos!$C$12&lt;&gt;"",Creditos!$M$12="OK",23&lt;=Creditos!$H$12),IF(AND(E388&lt;Supuestos!$D$6,P388&gt;0.005),Supuestos!$D$6-E388,0),"")</f>
        <v/>
      </c>
      <c r="R388" s="48" t="str">
        <f>IF(AND(Creditos!$C$12&lt;&gt;"",Creditos!$M$12="OK",23&lt;=Creditos!$H$12),MAX(0,N388-L388),"")</f>
        <v/>
      </c>
      <c r="S388" s="46" t="str">
        <f>IF(AND(Creditos!$C$12&lt;&gt;"",Creditos!$M$12="OK",23&lt;=Creditos!$H$12),IF(R388&gt;0.005,"Exceso sin imputar",IF(P388&lt;=0.005,"Pagada",IF(E388&lt;Supuestos!$D$6,"Vencida",IF(E388=Supuestos!$D$6,"Vence hoy","Por vencer")))),"")</f>
        <v/>
      </c>
      <c r="T388" s="46">
        <f>IF(AND(Creditos!$C$12&lt;&gt;"",Creditos!$M$12="OK",23&lt;=Creditos!$H$12),IF(P388&gt;0.005,E388,999999),999999)</f>
        <v>999999</v>
      </c>
    </row>
    <row r="389" ht="25.5" customHeight="1">
      <c r="C389" s="46" t="str">
        <f>IF(AND(Creditos!$C$12&lt;&gt;"",Creditos!$M$12="OK",24&lt;=Creditos!$H$12),Creditos!$C$12,"")</f>
        <v/>
      </c>
      <c r="D389" s="46" t="str">
        <f>IF(AND(Creditos!$C$12&lt;&gt;"",Creditos!$M$12="OK",24&lt;=Creditos!$H$12),24,"")</f>
        <v/>
      </c>
      <c r="E389" s="47" t="str">
        <f>IF(AND(Creditos!$C$12&lt;&gt;"",Creditos!$M$12="OK",24&lt;=Creditos!$H$12),EDATE(Creditos!$I$12,23),"")</f>
        <v/>
      </c>
      <c r="F389" s="48" t="str">
        <f>IF(AND(Creditos!$C$12&lt;&gt;"",Creditos!$M$12="OK",24&lt;=Creditos!$H$12),M388,"")</f>
        <v/>
      </c>
      <c r="G389" s="49" t="str">
        <f>IF(AND(Creditos!$C$12&lt;&gt;"",Creditos!$M$12="OK",24&lt;=Creditos!$H$12),Creditos!$N$12,"")</f>
        <v/>
      </c>
      <c r="H389" s="48" t="str">
        <f>IF(AND(Creditos!$C$12&lt;&gt;"",Creditos!$M$12="OK",24&lt;=Creditos!$H$12),ROUND(F389*G389,2),"")</f>
        <v/>
      </c>
      <c r="I389" s="48" t="str">
        <f>IF(AND(Creditos!$C$12&lt;&gt;"",Creditos!$M$12="OK",24&lt;=Creditos!$H$12),IF(24=Creditos!$H$12,F389+H389,MIN(Creditos!$O$12,F389+H389)),"")</f>
        <v/>
      </c>
      <c r="J389" s="48" t="str">
        <f>IF(AND(Creditos!$C$12&lt;&gt;"",Creditos!$M$12="OK",24&lt;=Creditos!$H$12),MIN(F389,MAX(0,I389-H389)),"")</f>
        <v/>
      </c>
      <c r="K389" s="48" t="str">
        <f>IF(AND(Creditos!$C$12&lt;&gt;"",Creditos!$M$12="OK",24&lt;=Creditos!$H$12),Creditos!$J$12+Creditos!$K$12,"")</f>
        <v/>
      </c>
      <c r="L389" s="48" t="str">
        <f>IF(AND(Creditos!$C$12&lt;&gt;"",Creditos!$M$12="OK",24&lt;=Creditos!$H$12),I389+K389,"")</f>
        <v/>
      </c>
      <c r="M389" s="48" t="str">
        <f>IF(AND(Creditos!$C$12&lt;&gt;"",Creditos!$M$12="OK",24&lt;=Creditos!$H$12),MAX(0,F389-J389),"")</f>
        <v/>
      </c>
      <c r="N389" s="48" t="str">
        <f>IF(AND(Creditos!$C$12&lt;&gt;"",Creditos!$M$12="OK",24&lt;=Creditos!$H$12),SUMIFS(Pagos!$F$6:$F$305,Pagos!$C$6:$C$305,C389,Pagos!$D$6:$D$305,D389,Pagos!$E$6:$E$305,"&lt;="&amp;Supuestos!$D$6,Pagos!$H$6:$H$305,"OK"),"")</f>
        <v/>
      </c>
      <c r="O389" s="48" t="str">
        <f>IF(AND(Creditos!$C$12&lt;&gt;"",Creditos!$M$12="OK",24&lt;=Creditos!$H$12),MIN(J389,MAX(0,N389-K389-H389)),"")</f>
        <v/>
      </c>
      <c r="P389" s="48" t="str">
        <f>IF(AND(Creditos!$C$12&lt;&gt;"",Creditos!$M$12="OK",24&lt;=Creditos!$H$12),MAX(0,L389-N389),"")</f>
        <v/>
      </c>
      <c r="Q389" s="50" t="str">
        <f>IF(AND(Creditos!$C$12&lt;&gt;"",Creditos!$M$12="OK",24&lt;=Creditos!$H$12),IF(AND(E389&lt;Supuestos!$D$6,P389&gt;0.005),Supuestos!$D$6-E389,0),"")</f>
        <v/>
      </c>
      <c r="R389" s="48" t="str">
        <f>IF(AND(Creditos!$C$12&lt;&gt;"",Creditos!$M$12="OK",24&lt;=Creditos!$H$12),MAX(0,N389-L389),"")</f>
        <v/>
      </c>
      <c r="S389" s="46" t="str">
        <f>IF(AND(Creditos!$C$12&lt;&gt;"",Creditos!$M$12="OK",24&lt;=Creditos!$H$12),IF(R389&gt;0.005,"Exceso sin imputar",IF(P389&lt;=0.005,"Pagada",IF(E389&lt;Supuestos!$D$6,"Vencida",IF(E389=Supuestos!$D$6,"Vence hoy","Por vencer")))),"")</f>
        <v/>
      </c>
      <c r="T389" s="46">
        <f>IF(AND(Creditos!$C$12&lt;&gt;"",Creditos!$M$12="OK",24&lt;=Creditos!$H$12),IF(P389&gt;0.005,E389,999999),999999)</f>
        <v>999999</v>
      </c>
    </row>
    <row r="390" ht="25.5" customHeight="1">
      <c r="C390" s="46" t="str">
        <f>IF(AND(Creditos!$C$12&lt;&gt;"",Creditos!$M$12="OK",25&lt;=Creditos!$H$12),Creditos!$C$12,"")</f>
        <v/>
      </c>
      <c r="D390" s="46" t="str">
        <f>IF(AND(Creditos!$C$12&lt;&gt;"",Creditos!$M$12="OK",25&lt;=Creditos!$H$12),25,"")</f>
        <v/>
      </c>
      <c r="E390" s="47" t="str">
        <f>IF(AND(Creditos!$C$12&lt;&gt;"",Creditos!$M$12="OK",25&lt;=Creditos!$H$12),EDATE(Creditos!$I$12,24),"")</f>
        <v/>
      </c>
      <c r="F390" s="48" t="str">
        <f>IF(AND(Creditos!$C$12&lt;&gt;"",Creditos!$M$12="OK",25&lt;=Creditos!$H$12),M389,"")</f>
        <v/>
      </c>
      <c r="G390" s="49" t="str">
        <f>IF(AND(Creditos!$C$12&lt;&gt;"",Creditos!$M$12="OK",25&lt;=Creditos!$H$12),Creditos!$N$12,"")</f>
        <v/>
      </c>
      <c r="H390" s="48" t="str">
        <f>IF(AND(Creditos!$C$12&lt;&gt;"",Creditos!$M$12="OK",25&lt;=Creditos!$H$12),ROUND(F390*G390,2),"")</f>
        <v/>
      </c>
      <c r="I390" s="48" t="str">
        <f>IF(AND(Creditos!$C$12&lt;&gt;"",Creditos!$M$12="OK",25&lt;=Creditos!$H$12),IF(25=Creditos!$H$12,F390+H390,MIN(Creditos!$O$12,F390+H390)),"")</f>
        <v/>
      </c>
      <c r="J390" s="48" t="str">
        <f>IF(AND(Creditos!$C$12&lt;&gt;"",Creditos!$M$12="OK",25&lt;=Creditos!$H$12),MIN(F390,MAX(0,I390-H390)),"")</f>
        <v/>
      </c>
      <c r="K390" s="48" t="str">
        <f>IF(AND(Creditos!$C$12&lt;&gt;"",Creditos!$M$12="OK",25&lt;=Creditos!$H$12),Creditos!$J$12+Creditos!$K$12,"")</f>
        <v/>
      </c>
      <c r="L390" s="48" t="str">
        <f>IF(AND(Creditos!$C$12&lt;&gt;"",Creditos!$M$12="OK",25&lt;=Creditos!$H$12),I390+K390,"")</f>
        <v/>
      </c>
      <c r="M390" s="48" t="str">
        <f>IF(AND(Creditos!$C$12&lt;&gt;"",Creditos!$M$12="OK",25&lt;=Creditos!$H$12),MAX(0,F390-J390),"")</f>
        <v/>
      </c>
      <c r="N390" s="48" t="str">
        <f>IF(AND(Creditos!$C$12&lt;&gt;"",Creditos!$M$12="OK",25&lt;=Creditos!$H$12),SUMIFS(Pagos!$F$6:$F$305,Pagos!$C$6:$C$305,C390,Pagos!$D$6:$D$305,D390,Pagos!$E$6:$E$305,"&lt;="&amp;Supuestos!$D$6,Pagos!$H$6:$H$305,"OK"),"")</f>
        <v/>
      </c>
      <c r="O390" s="48" t="str">
        <f>IF(AND(Creditos!$C$12&lt;&gt;"",Creditos!$M$12="OK",25&lt;=Creditos!$H$12),MIN(J390,MAX(0,N390-K390-H390)),"")</f>
        <v/>
      </c>
      <c r="P390" s="48" t="str">
        <f>IF(AND(Creditos!$C$12&lt;&gt;"",Creditos!$M$12="OK",25&lt;=Creditos!$H$12),MAX(0,L390-N390),"")</f>
        <v/>
      </c>
      <c r="Q390" s="50" t="str">
        <f>IF(AND(Creditos!$C$12&lt;&gt;"",Creditos!$M$12="OK",25&lt;=Creditos!$H$12),IF(AND(E390&lt;Supuestos!$D$6,P390&gt;0.005),Supuestos!$D$6-E390,0),"")</f>
        <v/>
      </c>
      <c r="R390" s="48" t="str">
        <f>IF(AND(Creditos!$C$12&lt;&gt;"",Creditos!$M$12="OK",25&lt;=Creditos!$H$12),MAX(0,N390-L390),"")</f>
        <v/>
      </c>
      <c r="S390" s="46" t="str">
        <f>IF(AND(Creditos!$C$12&lt;&gt;"",Creditos!$M$12="OK",25&lt;=Creditos!$H$12),IF(R390&gt;0.005,"Exceso sin imputar",IF(P390&lt;=0.005,"Pagada",IF(E390&lt;Supuestos!$D$6,"Vencida",IF(E390=Supuestos!$D$6,"Vence hoy","Por vencer")))),"")</f>
        <v/>
      </c>
      <c r="T390" s="46">
        <f>IF(AND(Creditos!$C$12&lt;&gt;"",Creditos!$M$12="OK",25&lt;=Creditos!$H$12),IF(P390&gt;0.005,E390,999999),999999)</f>
        <v>999999</v>
      </c>
    </row>
    <row r="391" ht="25.5" customHeight="1">
      <c r="C391" s="46" t="str">
        <f>IF(AND(Creditos!$C$12&lt;&gt;"",Creditos!$M$12="OK",26&lt;=Creditos!$H$12),Creditos!$C$12,"")</f>
        <v/>
      </c>
      <c r="D391" s="46" t="str">
        <f>IF(AND(Creditos!$C$12&lt;&gt;"",Creditos!$M$12="OK",26&lt;=Creditos!$H$12),26,"")</f>
        <v/>
      </c>
      <c r="E391" s="47" t="str">
        <f>IF(AND(Creditos!$C$12&lt;&gt;"",Creditos!$M$12="OK",26&lt;=Creditos!$H$12),EDATE(Creditos!$I$12,25),"")</f>
        <v/>
      </c>
      <c r="F391" s="48" t="str">
        <f>IF(AND(Creditos!$C$12&lt;&gt;"",Creditos!$M$12="OK",26&lt;=Creditos!$H$12),M390,"")</f>
        <v/>
      </c>
      <c r="G391" s="49" t="str">
        <f>IF(AND(Creditos!$C$12&lt;&gt;"",Creditos!$M$12="OK",26&lt;=Creditos!$H$12),Creditos!$N$12,"")</f>
        <v/>
      </c>
      <c r="H391" s="48" t="str">
        <f>IF(AND(Creditos!$C$12&lt;&gt;"",Creditos!$M$12="OK",26&lt;=Creditos!$H$12),ROUND(F391*G391,2),"")</f>
        <v/>
      </c>
      <c r="I391" s="48" t="str">
        <f>IF(AND(Creditos!$C$12&lt;&gt;"",Creditos!$M$12="OK",26&lt;=Creditos!$H$12),IF(26=Creditos!$H$12,F391+H391,MIN(Creditos!$O$12,F391+H391)),"")</f>
        <v/>
      </c>
      <c r="J391" s="48" t="str">
        <f>IF(AND(Creditos!$C$12&lt;&gt;"",Creditos!$M$12="OK",26&lt;=Creditos!$H$12),MIN(F391,MAX(0,I391-H391)),"")</f>
        <v/>
      </c>
      <c r="K391" s="48" t="str">
        <f>IF(AND(Creditos!$C$12&lt;&gt;"",Creditos!$M$12="OK",26&lt;=Creditos!$H$12),Creditos!$J$12+Creditos!$K$12,"")</f>
        <v/>
      </c>
      <c r="L391" s="48" t="str">
        <f>IF(AND(Creditos!$C$12&lt;&gt;"",Creditos!$M$12="OK",26&lt;=Creditos!$H$12),I391+K391,"")</f>
        <v/>
      </c>
      <c r="M391" s="48" t="str">
        <f>IF(AND(Creditos!$C$12&lt;&gt;"",Creditos!$M$12="OK",26&lt;=Creditos!$H$12),MAX(0,F391-J391),"")</f>
        <v/>
      </c>
      <c r="N391" s="48" t="str">
        <f>IF(AND(Creditos!$C$12&lt;&gt;"",Creditos!$M$12="OK",26&lt;=Creditos!$H$12),SUMIFS(Pagos!$F$6:$F$305,Pagos!$C$6:$C$305,C391,Pagos!$D$6:$D$305,D391,Pagos!$E$6:$E$305,"&lt;="&amp;Supuestos!$D$6,Pagos!$H$6:$H$305,"OK"),"")</f>
        <v/>
      </c>
      <c r="O391" s="48" t="str">
        <f>IF(AND(Creditos!$C$12&lt;&gt;"",Creditos!$M$12="OK",26&lt;=Creditos!$H$12),MIN(J391,MAX(0,N391-K391-H391)),"")</f>
        <v/>
      </c>
      <c r="P391" s="48" t="str">
        <f>IF(AND(Creditos!$C$12&lt;&gt;"",Creditos!$M$12="OK",26&lt;=Creditos!$H$12),MAX(0,L391-N391),"")</f>
        <v/>
      </c>
      <c r="Q391" s="50" t="str">
        <f>IF(AND(Creditos!$C$12&lt;&gt;"",Creditos!$M$12="OK",26&lt;=Creditos!$H$12),IF(AND(E391&lt;Supuestos!$D$6,P391&gt;0.005),Supuestos!$D$6-E391,0),"")</f>
        <v/>
      </c>
      <c r="R391" s="48" t="str">
        <f>IF(AND(Creditos!$C$12&lt;&gt;"",Creditos!$M$12="OK",26&lt;=Creditos!$H$12),MAX(0,N391-L391),"")</f>
        <v/>
      </c>
      <c r="S391" s="46" t="str">
        <f>IF(AND(Creditos!$C$12&lt;&gt;"",Creditos!$M$12="OK",26&lt;=Creditos!$H$12),IF(R391&gt;0.005,"Exceso sin imputar",IF(P391&lt;=0.005,"Pagada",IF(E391&lt;Supuestos!$D$6,"Vencida",IF(E391=Supuestos!$D$6,"Vence hoy","Por vencer")))),"")</f>
        <v/>
      </c>
      <c r="T391" s="46">
        <f>IF(AND(Creditos!$C$12&lt;&gt;"",Creditos!$M$12="OK",26&lt;=Creditos!$H$12),IF(P391&gt;0.005,E391,999999),999999)</f>
        <v>999999</v>
      </c>
    </row>
    <row r="392" ht="25.5" customHeight="1">
      <c r="C392" s="46" t="str">
        <f>IF(AND(Creditos!$C$12&lt;&gt;"",Creditos!$M$12="OK",27&lt;=Creditos!$H$12),Creditos!$C$12,"")</f>
        <v/>
      </c>
      <c r="D392" s="46" t="str">
        <f>IF(AND(Creditos!$C$12&lt;&gt;"",Creditos!$M$12="OK",27&lt;=Creditos!$H$12),27,"")</f>
        <v/>
      </c>
      <c r="E392" s="47" t="str">
        <f>IF(AND(Creditos!$C$12&lt;&gt;"",Creditos!$M$12="OK",27&lt;=Creditos!$H$12),EDATE(Creditos!$I$12,26),"")</f>
        <v/>
      </c>
      <c r="F392" s="48" t="str">
        <f>IF(AND(Creditos!$C$12&lt;&gt;"",Creditos!$M$12="OK",27&lt;=Creditos!$H$12),M391,"")</f>
        <v/>
      </c>
      <c r="G392" s="49" t="str">
        <f>IF(AND(Creditos!$C$12&lt;&gt;"",Creditos!$M$12="OK",27&lt;=Creditos!$H$12),Creditos!$N$12,"")</f>
        <v/>
      </c>
      <c r="H392" s="48" t="str">
        <f>IF(AND(Creditos!$C$12&lt;&gt;"",Creditos!$M$12="OK",27&lt;=Creditos!$H$12),ROUND(F392*G392,2),"")</f>
        <v/>
      </c>
      <c r="I392" s="48" t="str">
        <f>IF(AND(Creditos!$C$12&lt;&gt;"",Creditos!$M$12="OK",27&lt;=Creditos!$H$12),IF(27=Creditos!$H$12,F392+H392,MIN(Creditos!$O$12,F392+H392)),"")</f>
        <v/>
      </c>
      <c r="J392" s="48" t="str">
        <f>IF(AND(Creditos!$C$12&lt;&gt;"",Creditos!$M$12="OK",27&lt;=Creditos!$H$12),MIN(F392,MAX(0,I392-H392)),"")</f>
        <v/>
      </c>
      <c r="K392" s="48" t="str">
        <f>IF(AND(Creditos!$C$12&lt;&gt;"",Creditos!$M$12="OK",27&lt;=Creditos!$H$12),Creditos!$J$12+Creditos!$K$12,"")</f>
        <v/>
      </c>
      <c r="L392" s="48" t="str">
        <f>IF(AND(Creditos!$C$12&lt;&gt;"",Creditos!$M$12="OK",27&lt;=Creditos!$H$12),I392+K392,"")</f>
        <v/>
      </c>
      <c r="M392" s="48" t="str">
        <f>IF(AND(Creditos!$C$12&lt;&gt;"",Creditos!$M$12="OK",27&lt;=Creditos!$H$12),MAX(0,F392-J392),"")</f>
        <v/>
      </c>
      <c r="N392" s="48" t="str">
        <f>IF(AND(Creditos!$C$12&lt;&gt;"",Creditos!$M$12="OK",27&lt;=Creditos!$H$12),SUMIFS(Pagos!$F$6:$F$305,Pagos!$C$6:$C$305,C392,Pagos!$D$6:$D$305,D392,Pagos!$E$6:$E$305,"&lt;="&amp;Supuestos!$D$6,Pagos!$H$6:$H$305,"OK"),"")</f>
        <v/>
      </c>
      <c r="O392" s="48" t="str">
        <f>IF(AND(Creditos!$C$12&lt;&gt;"",Creditos!$M$12="OK",27&lt;=Creditos!$H$12),MIN(J392,MAX(0,N392-K392-H392)),"")</f>
        <v/>
      </c>
      <c r="P392" s="48" t="str">
        <f>IF(AND(Creditos!$C$12&lt;&gt;"",Creditos!$M$12="OK",27&lt;=Creditos!$H$12),MAX(0,L392-N392),"")</f>
        <v/>
      </c>
      <c r="Q392" s="50" t="str">
        <f>IF(AND(Creditos!$C$12&lt;&gt;"",Creditos!$M$12="OK",27&lt;=Creditos!$H$12),IF(AND(E392&lt;Supuestos!$D$6,P392&gt;0.005),Supuestos!$D$6-E392,0),"")</f>
        <v/>
      </c>
      <c r="R392" s="48" t="str">
        <f>IF(AND(Creditos!$C$12&lt;&gt;"",Creditos!$M$12="OK",27&lt;=Creditos!$H$12),MAX(0,N392-L392),"")</f>
        <v/>
      </c>
      <c r="S392" s="46" t="str">
        <f>IF(AND(Creditos!$C$12&lt;&gt;"",Creditos!$M$12="OK",27&lt;=Creditos!$H$12),IF(R392&gt;0.005,"Exceso sin imputar",IF(P392&lt;=0.005,"Pagada",IF(E392&lt;Supuestos!$D$6,"Vencida",IF(E392=Supuestos!$D$6,"Vence hoy","Por vencer")))),"")</f>
        <v/>
      </c>
      <c r="T392" s="46">
        <f>IF(AND(Creditos!$C$12&lt;&gt;"",Creditos!$M$12="OK",27&lt;=Creditos!$H$12),IF(P392&gt;0.005,E392,999999),999999)</f>
        <v>999999</v>
      </c>
    </row>
    <row r="393" ht="25.5" customHeight="1">
      <c r="C393" s="46" t="str">
        <f>IF(AND(Creditos!$C$12&lt;&gt;"",Creditos!$M$12="OK",28&lt;=Creditos!$H$12),Creditos!$C$12,"")</f>
        <v/>
      </c>
      <c r="D393" s="46" t="str">
        <f>IF(AND(Creditos!$C$12&lt;&gt;"",Creditos!$M$12="OK",28&lt;=Creditos!$H$12),28,"")</f>
        <v/>
      </c>
      <c r="E393" s="47" t="str">
        <f>IF(AND(Creditos!$C$12&lt;&gt;"",Creditos!$M$12="OK",28&lt;=Creditos!$H$12),EDATE(Creditos!$I$12,27),"")</f>
        <v/>
      </c>
      <c r="F393" s="48" t="str">
        <f>IF(AND(Creditos!$C$12&lt;&gt;"",Creditos!$M$12="OK",28&lt;=Creditos!$H$12),M392,"")</f>
        <v/>
      </c>
      <c r="G393" s="49" t="str">
        <f>IF(AND(Creditos!$C$12&lt;&gt;"",Creditos!$M$12="OK",28&lt;=Creditos!$H$12),Creditos!$N$12,"")</f>
        <v/>
      </c>
      <c r="H393" s="48" t="str">
        <f>IF(AND(Creditos!$C$12&lt;&gt;"",Creditos!$M$12="OK",28&lt;=Creditos!$H$12),ROUND(F393*G393,2),"")</f>
        <v/>
      </c>
      <c r="I393" s="48" t="str">
        <f>IF(AND(Creditos!$C$12&lt;&gt;"",Creditos!$M$12="OK",28&lt;=Creditos!$H$12),IF(28=Creditos!$H$12,F393+H393,MIN(Creditos!$O$12,F393+H393)),"")</f>
        <v/>
      </c>
      <c r="J393" s="48" t="str">
        <f>IF(AND(Creditos!$C$12&lt;&gt;"",Creditos!$M$12="OK",28&lt;=Creditos!$H$12),MIN(F393,MAX(0,I393-H393)),"")</f>
        <v/>
      </c>
      <c r="K393" s="48" t="str">
        <f>IF(AND(Creditos!$C$12&lt;&gt;"",Creditos!$M$12="OK",28&lt;=Creditos!$H$12),Creditos!$J$12+Creditos!$K$12,"")</f>
        <v/>
      </c>
      <c r="L393" s="48" t="str">
        <f>IF(AND(Creditos!$C$12&lt;&gt;"",Creditos!$M$12="OK",28&lt;=Creditos!$H$12),I393+K393,"")</f>
        <v/>
      </c>
      <c r="M393" s="48" t="str">
        <f>IF(AND(Creditos!$C$12&lt;&gt;"",Creditos!$M$12="OK",28&lt;=Creditos!$H$12),MAX(0,F393-J393),"")</f>
        <v/>
      </c>
      <c r="N393" s="48" t="str">
        <f>IF(AND(Creditos!$C$12&lt;&gt;"",Creditos!$M$12="OK",28&lt;=Creditos!$H$12),SUMIFS(Pagos!$F$6:$F$305,Pagos!$C$6:$C$305,C393,Pagos!$D$6:$D$305,D393,Pagos!$E$6:$E$305,"&lt;="&amp;Supuestos!$D$6,Pagos!$H$6:$H$305,"OK"),"")</f>
        <v/>
      </c>
      <c r="O393" s="48" t="str">
        <f>IF(AND(Creditos!$C$12&lt;&gt;"",Creditos!$M$12="OK",28&lt;=Creditos!$H$12),MIN(J393,MAX(0,N393-K393-H393)),"")</f>
        <v/>
      </c>
      <c r="P393" s="48" t="str">
        <f>IF(AND(Creditos!$C$12&lt;&gt;"",Creditos!$M$12="OK",28&lt;=Creditos!$H$12),MAX(0,L393-N393),"")</f>
        <v/>
      </c>
      <c r="Q393" s="50" t="str">
        <f>IF(AND(Creditos!$C$12&lt;&gt;"",Creditos!$M$12="OK",28&lt;=Creditos!$H$12),IF(AND(E393&lt;Supuestos!$D$6,P393&gt;0.005),Supuestos!$D$6-E393,0),"")</f>
        <v/>
      </c>
      <c r="R393" s="48" t="str">
        <f>IF(AND(Creditos!$C$12&lt;&gt;"",Creditos!$M$12="OK",28&lt;=Creditos!$H$12),MAX(0,N393-L393),"")</f>
        <v/>
      </c>
      <c r="S393" s="46" t="str">
        <f>IF(AND(Creditos!$C$12&lt;&gt;"",Creditos!$M$12="OK",28&lt;=Creditos!$H$12),IF(R393&gt;0.005,"Exceso sin imputar",IF(P393&lt;=0.005,"Pagada",IF(E393&lt;Supuestos!$D$6,"Vencida",IF(E393=Supuestos!$D$6,"Vence hoy","Por vencer")))),"")</f>
        <v/>
      </c>
      <c r="T393" s="46">
        <f>IF(AND(Creditos!$C$12&lt;&gt;"",Creditos!$M$12="OK",28&lt;=Creditos!$H$12),IF(P393&gt;0.005,E393,999999),999999)</f>
        <v>999999</v>
      </c>
    </row>
    <row r="394" ht="25.5" customHeight="1">
      <c r="C394" s="46" t="str">
        <f>IF(AND(Creditos!$C$12&lt;&gt;"",Creditos!$M$12="OK",29&lt;=Creditos!$H$12),Creditos!$C$12,"")</f>
        <v/>
      </c>
      <c r="D394" s="46" t="str">
        <f>IF(AND(Creditos!$C$12&lt;&gt;"",Creditos!$M$12="OK",29&lt;=Creditos!$H$12),29,"")</f>
        <v/>
      </c>
      <c r="E394" s="47" t="str">
        <f>IF(AND(Creditos!$C$12&lt;&gt;"",Creditos!$M$12="OK",29&lt;=Creditos!$H$12),EDATE(Creditos!$I$12,28),"")</f>
        <v/>
      </c>
      <c r="F394" s="48" t="str">
        <f>IF(AND(Creditos!$C$12&lt;&gt;"",Creditos!$M$12="OK",29&lt;=Creditos!$H$12),M393,"")</f>
        <v/>
      </c>
      <c r="G394" s="49" t="str">
        <f>IF(AND(Creditos!$C$12&lt;&gt;"",Creditos!$M$12="OK",29&lt;=Creditos!$H$12),Creditos!$N$12,"")</f>
        <v/>
      </c>
      <c r="H394" s="48" t="str">
        <f>IF(AND(Creditos!$C$12&lt;&gt;"",Creditos!$M$12="OK",29&lt;=Creditos!$H$12),ROUND(F394*G394,2),"")</f>
        <v/>
      </c>
      <c r="I394" s="48" t="str">
        <f>IF(AND(Creditos!$C$12&lt;&gt;"",Creditos!$M$12="OK",29&lt;=Creditos!$H$12),IF(29=Creditos!$H$12,F394+H394,MIN(Creditos!$O$12,F394+H394)),"")</f>
        <v/>
      </c>
      <c r="J394" s="48" t="str">
        <f>IF(AND(Creditos!$C$12&lt;&gt;"",Creditos!$M$12="OK",29&lt;=Creditos!$H$12),MIN(F394,MAX(0,I394-H394)),"")</f>
        <v/>
      </c>
      <c r="K394" s="48" t="str">
        <f>IF(AND(Creditos!$C$12&lt;&gt;"",Creditos!$M$12="OK",29&lt;=Creditos!$H$12),Creditos!$J$12+Creditos!$K$12,"")</f>
        <v/>
      </c>
      <c r="L394" s="48" t="str">
        <f>IF(AND(Creditos!$C$12&lt;&gt;"",Creditos!$M$12="OK",29&lt;=Creditos!$H$12),I394+K394,"")</f>
        <v/>
      </c>
      <c r="M394" s="48" t="str">
        <f>IF(AND(Creditos!$C$12&lt;&gt;"",Creditos!$M$12="OK",29&lt;=Creditos!$H$12),MAX(0,F394-J394),"")</f>
        <v/>
      </c>
      <c r="N394" s="48" t="str">
        <f>IF(AND(Creditos!$C$12&lt;&gt;"",Creditos!$M$12="OK",29&lt;=Creditos!$H$12),SUMIFS(Pagos!$F$6:$F$305,Pagos!$C$6:$C$305,C394,Pagos!$D$6:$D$305,D394,Pagos!$E$6:$E$305,"&lt;="&amp;Supuestos!$D$6,Pagos!$H$6:$H$305,"OK"),"")</f>
        <v/>
      </c>
      <c r="O394" s="48" t="str">
        <f>IF(AND(Creditos!$C$12&lt;&gt;"",Creditos!$M$12="OK",29&lt;=Creditos!$H$12),MIN(J394,MAX(0,N394-K394-H394)),"")</f>
        <v/>
      </c>
      <c r="P394" s="48" t="str">
        <f>IF(AND(Creditos!$C$12&lt;&gt;"",Creditos!$M$12="OK",29&lt;=Creditos!$H$12),MAX(0,L394-N394),"")</f>
        <v/>
      </c>
      <c r="Q394" s="50" t="str">
        <f>IF(AND(Creditos!$C$12&lt;&gt;"",Creditos!$M$12="OK",29&lt;=Creditos!$H$12),IF(AND(E394&lt;Supuestos!$D$6,P394&gt;0.005),Supuestos!$D$6-E394,0),"")</f>
        <v/>
      </c>
      <c r="R394" s="48" t="str">
        <f>IF(AND(Creditos!$C$12&lt;&gt;"",Creditos!$M$12="OK",29&lt;=Creditos!$H$12),MAX(0,N394-L394),"")</f>
        <v/>
      </c>
      <c r="S394" s="46" t="str">
        <f>IF(AND(Creditos!$C$12&lt;&gt;"",Creditos!$M$12="OK",29&lt;=Creditos!$H$12),IF(R394&gt;0.005,"Exceso sin imputar",IF(P394&lt;=0.005,"Pagada",IF(E394&lt;Supuestos!$D$6,"Vencida",IF(E394=Supuestos!$D$6,"Vence hoy","Por vencer")))),"")</f>
        <v/>
      </c>
      <c r="T394" s="46">
        <f>IF(AND(Creditos!$C$12&lt;&gt;"",Creditos!$M$12="OK",29&lt;=Creditos!$H$12),IF(P394&gt;0.005,E394,999999),999999)</f>
        <v>999999</v>
      </c>
    </row>
    <row r="395" ht="25.5" customHeight="1">
      <c r="C395" s="46" t="str">
        <f>IF(AND(Creditos!$C$12&lt;&gt;"",Creditos!$M$12="OK",30&lt;=Creditos!$H$12),Creditos!$C$12,"")</f>
        <v/>
      </c>
      <c r="D395" s="46" t="str">
        <f>IF(AND(Creditos!$C$12&lt;&gt;"",Creditos!$M$12="OK",30&lt;=Creditos!$H$12),30,"")</f>
        <v/>
      </c>
      <c r="E395" s="47" t="str">
        <f>IF(AND(Creditos!$C$12&lt;&gt;"",Creditos!$M$12="OK",30&lt;=Creditos!$H$12),EDATE(Creditos!$I$12,29),"")</f>
        <v/>
      </c>
      <c r="F395" s="48" t="str">
        <f>IF(AND(Creditos!$C$12&lt;&gt;"",Creditos!$M$12="OK",30&lt;=Creditos!$H$12),M394,"")</f>
        <v/>
      </c>
      <c r="G395" s="49" t="str">
        <f>IF(AND(Creditos!$C$12&lt;&gt;"",Creditos!$M$12="OK",30&lt;=Creditos!$H$12),Creditos!$N$12,"")</f>
        <v/>
      </c>
      <c r="H395" s="48" t="str">
        <f>IF(AND(Creditos!$C$12&lt;&gt;"",Creditos!$M$12="OK",30&lt;=Creditos!$H$12),ROUND(F395*G395,2),"")</f>
        <v/>
      </c>
      <c r="I395" s="48" t="str">
        <f>IF(AND(Creditos!$C$12&lt;&gt;"",Creditos!$M$12="OK",30&lt;=Creditos!$H$12),IF(30=Creditos!$H$12,F395+H395,MIN(Creditos!$O$12,F395+H395)),"")</f>
        <v/>
      </c>
      <c r="J395" s="48" t="str">
        <f>IF(AND(Creditos!$C$12&lt;&gt;"",Creditos!$M$12="OK",30&lt;=Creditos!$H$12),MIN(F395,MAX(0,I395-H395)),"")</f>
        <v/>
      </c>
      <c r="K395" s="48" t="str">
        <f>IF(AND(Creditos!$C$12&lt;&gt;"",Creditos!$M$12="OK",30&lt;=Creditos!$H$12),Creditos!$J$12+Creditos!$K$12,"")</f>
        <v/>
      </c>
      <c r="L395" s="48" t="str">
        <f>IF(AND(Creditos!$C$12&lt;&gt;"",Creditos!$M$12="OK",30&lt;=Creditos!$H$12),I395+K395,"")</f>
        <v/>
      </c>
      <c r="M395" s="48" t="str">
        <f>IF(AND(Creditos!$C$12&lt;&gt;"",Creditos!$M$12="OK",30&lt;=Creditos!$H$12),MAX(0,F395-J395),"")</f>
        <v/>
      </c>
      <c r="N395" s="48" t="str">
        <f>IF(AND(Creditos!$C$12&lt;&gt;"",Creditos!$M$12="OK",30&lt;=Creditos!$H$12),SUMIFS(Pagos!$F$6:$F$305,Pagos!$C$6:$C$305,C395,Pagos!$D$6:$D$305,D395,Pagos!$E$6:$E$305,"&lt;="&amp;Supuestos!$D$6,Pagos!$H$6:$H$305,"OK"),"")</f>
        <v/>
      </c>
      <c r="O395" s="48" t="str">
        <f>IF(AND(Creditos!$C$12&lt;&gt;"",Creditos!$M$12="OK",30&lt;=Creditos!$H$12),MIN(J395,MAX(0,N395-K395-H395)),"")</f>
        <v/>
      </c>
      <c r="P395" s="48" t="str">
        <f>IF(AND(Creditos!$C$12&lt;&gt;"",Creditos!$M$12="OK",30&lt;=Creditos!$H$12),MAX(0,L395-N395),"")</f>
        <v/>
      </c>
      <c r="Q395" s="50" t="str">
        <f>IF(AND(Creditos!$C$12&lt;&gt;"",Creditos!$M$12="OK",30&lt;=Creditos!$H$12),IF(AND(E395&lt;Supuestos!$D$6,P395&gt;0.005),Supuestos!$D$6-E395,0),"")</f>
        <v/>
      </c>
      <c r="R395" s="48" t="str">
        <f>IF(AND(Creditos!$C$12&lt;&gt;"",Creditos!$M$12="OK",30&lt;=Creditos!$H$12),MAX(0,N395-L395),"")</f>
        <v/>
      </c>
      <c r="S395" s="46" t="str">
        <f>IF(AND(Creditos!$C$12&lt;&gt;"",Creditos!$M$12="OK",30&lt;=Creditos!$H$12),IF(R395&gt;0.005,"Exceso sin imputar",IF(P395&lt;=0.005,"Pagada",IF(E395&lt;Supuestos!$D$6,"Vencida",IF(E395=Supuestos!$D$6,"Vence hoy","Por vencer")))),"")</f>
        <v/>
      </c>
      <c r="T395" s="46">
        <f>IF(AND(Creditos!$C$12&lt;&gt;"",Creditos!$M$12="OK",30&lt;=Creditos!$H$12),IF(P395&gt;0.005,E395,999999),999999)</f>
        <v>999999</v>
      </c>
    </row>
    <row r="396" ht="25.5" customHeight="1">
      <c r="C396" s="46" t="str">
        <f>IF(AND(Creditos!$C$12&lt;&gt;"",Creditos!$M$12="OK",31&lt;=Creditos!$H$12),Creditos!$C$12,"")</f>
        <v/>
      </c>
      <c r="D396" s="46" t="str">
        <f>IF(AND(Creditos!$C$12&lt;&gt;"",Creditos!$M$12="OK",31&lt;=Creditos!$H$12),31,"")</f>
        <v/>
      </c>
      <c r="E396" s="47" t="str">
        <f>IF(AND(Creditos!$C$12&lt;&gt;"",Creditos!$M$12="OK",31&lt;=Creditos!$H$12),EDATE(Creditos!$I$12,30),"")</f>
        <v/>
      </c>
      <c r="F396" s="48" t="str">
        <f>IF(AND(Creditos!$C$12&lt;&gt;"",Creditos!$M$12="OK",31&lt;=Creditos!$H$12),M395,"")</f>
        <v/>
      </c>
      <c r="G396" s="49" t="str">
        <f>IF(AND(Creditos!$C$12&lt;&gt;"",Creditos!$M$12="OK",31&lt;=Creditos!$H$12),Creditos!$N$12,"")</f>
        <v/>
      </c>
      <c r="H396" s="48" t="str">
        <f>IF(AND(Creditos!$C$12&lt;&gt;"",Creditos!$M$12="OK",31&lt;=Creditos!$H$12),ROUND(F396*G396,2),"")</f>
        <v/>
      </c>
      <c r="I396" s="48" t="str">
        <f>IF(AND(Creditos!$C$12&lt;&gt;"",Creditos!$M$12="OK",31&lt;=Creditos!$H$12),IF(31=Creditos!$H$12,F396+H396,MIN(Creditos!$O$12,F396+H396)),"")</f>
        <v/>
      </c>
      <c r="J396" s="48" t="str">
        <f>IF(AND(Creditos!$C$12&lt;&gt;"",Creditos!$M$12="OK",31&lt;=Creditos!$H$12),MIN(F396,MAX(0,I396-H396)),"")</f>
        <v/>
      </c>
      <c r="K396" s="48" t="str">
        <f>IF(AND(Creditos!$C$12&lt;&gt;"",Creditos!$M$12="OK",31&lt;=Creditos!$H$12),Creditos!$J$12+Creditos!$K$12,"")</f>
        <v/>
      </c>
      <c r="L396" s="48" t="str">
        <f>IF(AND(Creditos!$C$12&lt;&gt;"",Creditos!$M$12="OK",31&lt;=Creditos!$H$12),I396+K396,"")</f>
        <v/>
      </c>
      <c r="M396" s="48" t="str">
        <f>IF(AND(Creditos!$C$12&lt;&gt;"",Creditos!$M$12="OK",31&lt;=Creditos!$H$12),MAX(0,F396-J396),"")</f>
        <v/>
      </c>
      <c r="N396" s="48" t="str">
        <f>IF(AND(Creditos!$C$12&lt;&gt;"",Creditos!$M$12="OK",31&lt;=Creditos!$H$12),SUMIFS(Pagos!$F$6:$F$305,Pagos!$C$6:$C$305,C396,Pagos!$D$6:$D$305,D396,Pagos!$E$6:$E$305,"&lt;="&amp;Supuestos!$D$6,Pagos!$H$6:$H$305,"OK"),"")</f>
        <v/>
      </c>
      <c r="O396" s="48" t="str">
        <f>IF(AND(Creditos!$C$12&lt;&gt;"",Creditos!$M$12="OK",31&lt;=Creditos!$H$12),MIN(J396,MAX(0,N396-K396-H396)),"")</f>
        <v/>
      </c>
      <c r="P396" s="48" t="str">
        <f>IF(AND(Creditos!$C$12&lt;&gt;"",Creditos!$M$12="OK",31&lt;=Creditos!$H$12),MAX(0,L396-N396),"")</f>
        <v/>
      </c>
      <c r="Q396" s="50" t="str">
        <f>IF(AND(Creditos!$C$12&lt;&gt;"",Creditos!$M$12="OK",31&lt;=Creditos!$H$12),IF(AND(E396&lt;Supuestos!$D$6,P396&gt;0.005),Supuestos!$D$6-E396,0),"")</f>
        <v/>
      </c>
      <c r="R396" s="48" t="str">
        <f>IF(AND(Creditos!$C$12&lt;&gt;"",Creditos!$M$12="OK",31&lt;=Creditos!$H$12),MAX(0,N396-L396),"")</f>
        <v/>
      </c>
      <c r="S396" s="46" t="str">
        <f>IF(AND(Creditos!$C$12&lt;&gt;"",Creditos!$M$12="OK",31&lt;=Creditos!$H$12),IF(R396&gt;0.005,"Exceso sin imputar",IF(P396&lt;=0.005,"Pagada",IF(E396&lt;Supuestos!$D$6,"Vencida",IF(E396=Supuestos!$D$6,"Vence hoy","Por vencer")))),"")</f>
        <v/>
      </c>
      <c r="T396" s="46">
        <f>IF(AND(Creditos!$C$12&lt;&gt;"",Creditos!$M$12="OK",31&lt;=Creditos!$H$12),IF(P396&gt;0.005,E396,999999),999999)</f>
        <v>999999</v>
      </c>
    </row>
    <row r="397" ht="25.5" customHeight="1">
      <c r="C397" s="46" t="str">
        <f>IF(AND(Creditos!$C$12&lt;&gt;"",Creditos!$M$12="OK",32&lt;=Creditos!$H$12),Creditos!$C$12,"")</f>
        <v/>
      </c>
      <c r="D397" s="46" t="str">
        <f>IF(AND(Creditos!$C$12&lt;&gt;"",Creditos!$M$12="OK",32&lt;=Creditos!$H$12),32,"")</f>
        <v/>
      </c>
      <c r="E397" s="47" t="str">
        <f>IF(AND(Creditos!$C$12&lt;&gt;"",Creditos!$M$12="OK",32&lt;=Creditos!$H$12),EDATE(Creditos!$I$12,31),"")</f>
        <v/>
      </c>
      <c r="F397" s="48" t="str">
        <f>IF(AND(Creditos!$C$12&lt;&gt;"",Creditos!$M$12="OK",32&lt;=Creditos!$H$12),M396,"")</f>
        <v/>
      </c>
      <c r="G397" s="49" t="str">
        <f>IF(AND(Creditos!$C$12&lt;&gt;"",Creditos!$M$12="OK",32&lt;=Creditos!$H$12),Creditos!$N$12,"")</f>
        <v/>
      </c>
      <c r="H397" s="48" t="str">
        <f>IF(AND(Creditos!$C$12&lt;&gt;"",Creditos!$M$12="OK",32&lt;=Creditos!$H$12),ROUND(F397*G397,2),"")</f>
        <v/>
      </c>
      <c r="I397" s="48" t="str">
        <f>IF(AND(Creditos!$C$12&lt;&gt;"",Creditos!$M$12="OK",32&lt;=Creditos!$H$12),IF(32=Creditos!$H$12,F397+H397,MIN(Creditos!$O$12,F397+H397)),"")</f>
        <v/>
      </c>
      <c r="J397" s="48" t="str">
        <f>IF(AND(Creditos!$C$12&lt;&gt;"",Creditos!$M$12="OK",32&lt;=Creditos!$H$12),MIN(F397,MAX(0,I397-H397)),"")</f>
        <v/>
      </c>
      <c r="K397" s="48" t="str">
        <f>IF(AND(Creditos!$C$12&lt;&gt;"",Creditos!$M$12="OK",32&lt;=Creditos!$H$12),Creditos!$J$12+Creditos!$K$12,"")</f>
        <v/>
      </c>
      <c r="L397" s="48" t="str">
        <f>IF(AND(Creditos!$C$12&lt;&gt;"",Creditos!$M$12="OK",32&lt;=Creditos!$H$12),I397+K397,"")</f>
        <v/>
      </c>
      <c r="M397" s="48" t="str">
        <f>IF(AND(Creditos!$C$12&lt;&gt;"",Creditos!$M$12="OK",32&lt;=Creditos!$H$12),MAX(0,F397-J397),"")</f>
        <v/>
      </c>
      <c r="N397" s="48" t="str">
        <f>IF(AND(Creditos!$C$12&lt;&gt;"",Creditos!$M$12="OK",32&lt;=Creditos!$H$12),SUMIFS(Pagos!$F$6:$F$305,Pagos!$C$6:$C$305,C397,Pagos!$D$6:$D$305,D397,Pagos!$E$6:$E$305,"&lt;="&amp;Supuestos!$D$6,Pagos!$H$6:$H$305,"OK"),"")</f>
        <v/>
      </c>
      <c r="O397" s="48" t="str">
        <f>IF(AND(Creditos!$C$12&lt;&gt;"",Creditos!$M$12="OK",32&lt;=Creditos!$H$12),MIN(J397,MAX(0,N397-K397-H397)),"")</f>
        <v/>
      </c>
      <c r="P397" s="48" t="str">
        <f>IF(AND(Creditos!$C$12&lt;&gt;"",Creditos!$M$12="OK",32&lt;=Creditos!$H$12),MAX(0,L397-N397),"")</f>
        <v/>
      </c>
      <c r="Q397" s="50" t="str">
        <f>IF(AND(Creditos!$C$12&lt;&gt;"",Creditos!$M$12="OK",32&lt;=Creditos!$H$12),IF(AND(E397&lt;Supuestos!$D$6,P397&gt;0.005),Supuestos!$D$6-E397,0),"")</f>
        <v/>
      </c>
      <c r="R397" s="48" t="str">
        <f>IF(AND(Creditos!$C$12&lt;&gt;"",Creditos!$M$12="OK",32&lt;=Creditos!$H$12),MAX(0,N397-L397),"")</f>
        <v/>
      </c>
      <c r="S397" s="46" t="str">
        <f>IF(AND(Creditos!$C$12&lt;&gt;"",Creditos!$M$12="OK",32&lt;=Creditos!$H$12),IF(R397&gt;0.005,"Exceso sin imputar",IF(P397&lt;=0.005,"Pagada",IF(E397&lt;Supuestos!$D$6,"Vencida",IF(E397=Supuestos!$D$6,"Vence hoy","Por vencer")))),"")</f>
        <v/>
      </c>
      <c r="T397" s="46">
        <f>IF(AND(Creditos!$C$12&lt;&gt;"",Creditos!$M$12="OK",32&lt;=Creditos!$H$12),IF(P397&gt;0.005,E397,999999),999999)</f>
        <v>999999</v>
      </c>
    </row>
    <row r="398" ht="25.5" customHeight="1">
      <c r="C398" s="46" t="str">
        <f>IF(AND(Creditos!$C$12&lt;&gt;"",Creditos!$M$12="OK",33&lt;=Creditos!$H$12),Creditos!$C$12,"")</f>
        <v/>
      </c>
      <c r="D398" s="46" t="str">
        <f>IF(AND(Creditos!$C$12&lt;&gt;"",Creditos!$M$12="OK",33&lt;=Creditos!$H$12),33,"")</f>
        <v/>
      </c>
      <c r="E398" s="47" t="str">
        <f>IF(AND(Creditos!$C$12&lt;&gt;"",Creditos!$M$12="OK",33&lt;=Creditos!$H$12),EDATE(Creditos!$I$12,32),"")</f>
        <v/>
      </c>
      <c r="F398" s="48" t="str">
        <f>IF(AND(Creditos!$C$12&lt;&gt;"",Creditos!$M$12="OK",33&lt;=Creditos!$H$12),M397,"")</f>
        <v/>
      </c>
      <c r="G398" s="49" t="str">
        <f>IF(AND(Creditos!$C$12&lt;&gt;"",Creditos!$M$12="OK",33&lt;=Creditos!$H$12),Creditos!$N$12,"")</f>
        <v/>
      </c>
      <c r="H398" s="48" t="str">
        <f>IF(AND(Creditos!$C$12&lt;&gt;"",Creditos!$M$12="OK",33&lt;=Creditos!$H$12),ROUND(F398*G398,2),"")</f>
        <v/>
      </c>
      <c r="I398" s="48" t="str">
        <f>IF(AND(Creditos!$C$12&lt;&gt;"",Creditos!$M$12="OK",33&lt;=Creditos!$H$12),IF(33=Creditos!$H$12,F398+H398,MIN(Creditos!$O$12,F398+H398)),"")</f>
        <v/>
      </c>
      <c r="J398" s="48" t="str">
        <f>IF(AND(Creditos!$C$12&lt;&gt;"",Creditos!$M$12="OK",33&lt;=Creditos!$H$12),MIN(F398,MAX(0,I398-H398)),"")</f>
        <v/>
      </c>
      <c r="K398" s="48" t="str">
        <f>IF(AND(Creditos!$C$12&lt;&gt;"",Creditos!$M$12="OK",33&lt;=Creditos!$H$12),Creditos!$J$12+Creditos!$K$12,"")</f>
        <v/>
      </c>
      <c r="L398" s="48" t="str">
        <f>IF(AND(Creditos!$C$12&lt;&gt;"",Creditos!$M$12="OK",33&lt;=Creditos!$H$12),I398+K398,"")</f>
        <v/>
      </c>
      <c r="M398" s="48" t="str">
        <f>IF(AND(Creditos!$C$12&lt;&gt;"",Creditos!$M$12="OK",33&lt;=Creditos!$H$12),MAX(0,F398-J398),"")</f>
        <v/>
      </c>
      <c r="N398" s="48" t="str">
        <f>IF(AND(Creditos!$C$12&lt;&gt;"",Creditos!$M$12="OK",33&lt;=Creditos!$H$12),SUMIFS(Pagos!$F$6:$F$305,Pagos!$C$6:$C$305,C398,Pagos!$D$6:$D$305,D398,Pagos!$E$6:$E$305,"&lt;="&amp;Supuestos!$D$6,Pagos!$H$6:$H$305,"OK"),"")</f>
        <v/>
      </c>
      <c r="O398" s="48" t="str">
        <f>IF(AND(Creditos!$C$12&lt;&gt;"",Creditos!$M$12="OK",33&lt;=Creditos!$H$12),MIN(J398,MAX(0,N398-K398-H398)),"")</f>
        <v/>
      </c>
      <c r="P398" s="48" t="str">
        <f>IF(AND(Creditos!$C$12&lt;&gt;"",Creditos!$M$12="OK",33&lt;=Creditos!$H$12),MAX(0,L398-N398),"")</f>
        <v/>
      </c>
      <c r="Q398" s="50" t="str">
        <f>IF(AND(Creditos!$C$12&lt;&gt;"",Creditos!$M$12="OK",33&lt;=Creditos!$H$12),IF(AND(E398&lt;Supuestos!$D$6,P398&gt;0.005),Supuestos!$D$6-E398,0),"")</f>
        <v/>
      </c>
      <c r="R398" s="48" t="str">
        <f>IF(AND(Creditos!$C$12&lt;&gt;"",Creditos!$M$12="OK",33&lt;=Creditos!$H$12),MAX(0,N398-L398),"")</f>
        <v/>
      </c>
      <c r="S398" s="46" t="str">
        <f>IF(AND(Creditos!$C$12&lt;&gt;"",Creditos!$M$12="OK",33&lt;=Creditos!$H$12),IF(R398&gt;0.005,"Exceso sin imputar",IF(P398&lt;=0.005,"Pagada",IF(E398&lt;Supuestos!$D$6,"Vencida",IF(E398=Supuestos!$D$6,"Vence hoy","Por vencer")))),"")</f>
        <v/>
      </c>
      <c r="T398" s="46">
        <f>IF(AND(Creditos!$C$12&lt;&gt;"",Creditos!$M$12="OK",33&lt;=Creditos!$H$12),IF(P398&gt;0.005,E398,999999),999999)</f>
        <v>999999</v>
      </c>
    </row>
    <row r="399" ht="25.5" customHeight="1">
      <c r="C399" s="46" t="str">
        <f>IF(AND(Creditos!$C$12&lt;&gt;"",Creditos!$M$12="OK",34&lt;=Creditos!$H$12),Creditos!$C$12,"")</f>
        <v/>
      </c>
      <c r="D399" s="46" t="str">
        <f>IF(AND(Creditos!$C$12&lt;&gt;"",Creditos!$M$12="OK",34&lt;=Creditos!$H$12),34,"")</f>
        <v/>
      </c>
      <c r="E399" s="47" t="str">
        <f>IF(AND(Creditos!$C$12&lt;&gt;"",Creditos!$M$12="OK",34&lt;=Creditos!$H$12),EDATE(Creditos!$I$12,33),"")</f>
        <v/>
      </c>
      <c r="F399" s="48" t="str">
        <f>IF(AND(Creditos!$C$12&lt;&gt;"",Creditos!$M$12="OK",34&lt;=Creditos!$H$12),M398,"")</f>
        <v/>
      </c>
      <c r="G399" s="49" t="str">
        <f>IF(AND(Creditos!$C$12&lt;&gt;"",Creditos!$M$12="OK",34&lt;=Creditos!$H$12),Creditos!$N$12,"")</f>
        <v/>
      </c>
      <c r="H399" s="48" t="str">
        <f>IF(AND(Creditos!$C$12&lt;&gt;"",Creditos!$M$12="OK",34&lt;=Creditos!$H$12),ROUND(F399*G399,2),"")</f>
        <v/>
      </c>
      <c r="I399" s="48" t="str">
        <f>IF(AND(Creditos!$C$12&lt;&gt;"",Creditos!$M$12="OK",34&lt;=Creditos!$H$12),IF(34=Creditos!$H$12,F399+H399,MIN(Creditos!$O$12,F399+H399)),"")</f>
        <v/>
      </c>
      <c r="J399" s="48" t="str">
        <f>IF(AND(Creditos!$C$12&lt;&gt;"",Creditos!$M$12="OK",34&lt;=Creditos!$H$12),MIN(F399,MAX(0,I399-H399)),"")</f>
        <v/>
      </c>
      <c r="K399" s="48" t="str">
        <f>IF(AND(Creditos!$C$12&lt;&gt;"",Creditos!$M$12="OK",34&lt;=Creditos!$H$12),Creditos!$J$12+Creditos!$K$12,"")</f>
        <v/>
      </c>
      <c r="L399" s="48" t="str">
        <f>IF(AND(Creditos!$C$12&lt;&gt;"",Creditos!$M$12="OK",34&lt;=Creditos!$H$12),I399+K399,"")</f>
        <v/>
      </c>
      <c r="M399" s="48" t="str">
        <f>IF(AND(Creditos!$C$12&lt;&gt;"",Creditos!$M$12="OK",34&lt;=Creditos!$H$12),MAX(0,F399-J399),"")</f>
        <v/>
      </c>
      <c r="N399" s="48" t="str">
        <f>IF(AND(Creditos!$C$12&lt;&gt;"",Creditos!$M$12="OK",34&lt;=Creditos!$H$12),SUMIFS(Pagos!$F$6:$F$305,Pagos!$C$6:$C$305,C399,Pagos!$D$6:$D$305,D399,Pagos!$E$6:$E$305,"&lt;="&amp;Supuestos!$D$6,Pagos!$H$6:$H$305,"OK"),"")</f>
        <v/>
      </c>
      <c r="O399" s="48" t="str">
        <f>IF(AND(Creditos!$C$12&lt;&gt;"",Creditos!$M$12="OK",34&lt;=Creditos!$H$12),MIN(J399,MAX(0,N399-K399-H399)),"")</f>
        <v/>
      </c>
      <c r="P399" s="48" t="str">
        <f>IF(AND(Creditos!$C$12&lt;&gt;"",Creditos!$M$12="OK",34&lt;=Creditos!$H$12),MAX(0,L399-N399),"")</f>
        <v/>
      </c>
      <c r="Q399" s="50" t="str">
        <f>IF(AND(Creditos!$C$12&lt;&gt;"",Creditos!$M$12="OK",34&lt;=Creditos!$H$12),IF(AND(E399&lt;Supuestos!$D$6,P399&gt;0.005),Supuestos!$D$6-E399,0),"")</f>
        <v/>
      </c>
      <c r="R399" s="48" t="str">
        <f>IF(AND(Creditos!$C$12&lt;&gt;"",Creditos!$M$12="OK",34&lt;=Creditos!$H$12),MAX(0,N399-L399),"")</f>
        <v/>
      </c>
      <c r="S399" s="46" t="str">
        <f>IF(AND(Creditos!$C$12&lt;&gt;"",Creditos!$M$12="OK",34&lt;=Creditos!$H$12),IF(R399&gt;0.005,"Exceso sin imputar",IF(P399&lt;=0.005,"Pagada",IF(E399&lt;Supuestos!$D$6,"Vencida",IF(E399=Supuestos!$D$6,"Vence hoy","Por vencer")))),"")</f>
        <v/>
      </c>
      <c r="T399" s="46">
        <f>IF(AND(Creditos!$C$12&lt;&gt;"",Creditos!$M$12="OK",34&lt;=Creditos!$H$12),IF(P399&gt;0.005,E399,999999),999999)</f>
        <v>999999</v>
      </c>
    </row>
    <row r="400" ht="25.5" customHeight="1">
      <c r="C400" s="46" t="str">
        <f>IF(AND(Creditos!$C$12&lt;&gt;"",Creditos!$M$12="OK",35&lt;=Creditos!$H$12),Creditos!$C$12,"")</f>
        <v/>
      </c>
      <c r="D400" s="46" t="str">
        <f>IF(AND(Creditos!$C$12&lt;&gt;"",Creditos!$M$12="OK",35&lt;=Creditos!$H$12),35,"")</f>
        <v/>
      </c>
      <c r="E400" s="47" t="str">
        <f>IF(AND(Creditos!$C$12&lt;&gt;"",Creditos!$M$12="OK",35&lt;=Creditos!$H$12),EDATE(Creditos!$I$12,34),"")</f>
        <v/>
      </c>
      <c r="F400" s="48" t="str">
        <f>IF(AND(Creditos!$C$12&lt;&gt;"",Creditos!$M$12="OK",35&lt;=Creditos!$H$12),M399,"")</f>
        <v/>
      </c>
      <c r="G400" s="49" t="str">
        <f>IF(AND(Creditos!$C$12&lt;&gt;"",Creditos!$M$12="OK",35&lt;=Creditos!$H$12),Creditos!$N$12,"")</f>
        <v/>
      </c>
      <c r="H400" s="48" t="str">
        <f>IF(AND(Creditos!$C$12&lt;&gt;"",Creditos!$M$12="OK",35&lt;=Creditos!$H$12),ROUND(F400*G400,2),"")</f>
        <v/>
      </c>
      <c r="I400" s="48" t="str">
        <f>IF(AND(Creditos!$C$12&lt;&gt;"",Creditos!$M$12="OK",35&lt;=Creditos!$H$12),IF(35=Creditos!$H$12,F400+H400,MIN(Creditos!$O$12,F400+H400)),"")</f>
        <v/>
      </c>
      <c r="J400" s="48" t="str">
        <f>IF(AND(Creditos!$C$12&lt;&gt;"",Creditos!$M$12="OK",35&lt;=Creditos!$H$12),MIN(F400,MAX(0,I400-H400)),"")</f>
        <v/>
      </c>
      <c r="K400" s="48" t="str">
        <f>IF(AND(Creditos!$C$12&lt;&gt;"",Creditos!$M$12="OK",35&lt;=Creditos!$H$12),Creditos!$J$12+Creditos!$K$12,"")</f>
        <v/>
      </c>
      <c r="L400" s="48" t="str">
        <f>IF(AND(Creditos!$C$12&lt;&gt;"",Creditos!$M$12="OK",35&lt;=Creditos!$H$12),I400+K400,"")</f>
        <v/>
      </c>
      <c r="M400" s="48" t="str">
        <f>IF(AND(Creditos!$C$12&lt;&gt;"",Creditos!$M$12="OK",35&lt;=Creditos!$H$12),MAX(0,F400-J400),"")</f>
        <v/>
      </c>
      <c r="N400" s="48" t="str">
        <f>IF(AND(Creditos!$C$12&lt;&gt;"",Creditos!$M$12="OK",35&lt;=Creditos!$H$12),SUMIFS(Pagos!$F$6:$F$305,Pagos!$C$6:$C$305,C400,Pagos!$D$6:$D$305,D400,Pagos!$E$6:$E$305,"&lt;="&amp;Supuestos!$D$6,Pagos!$H$6:$H$305,"OK"),"")</f>
        <v/>
      </c>
      <c r="O400" s="48" t="str">
        <f>IF(AND(Creditos!$C$12&lt;&gt;"",Creditos!$M$12="OK",35&lt;=Creditos!$H$12),MIN(J400,MAX(0,N400-K400-H400)),"")</f>
        <v/>
      </c>
      <c r="P400" s="48" t="str">
        <f>IF(AND(Creditos!$C$12&lt;&gt;"",Creditos!$M$12="OK",35&lt;=Creditos!$H$12),MAX(0,L400-N400),"")</f>
        <v/>
      </c>
      <c r="Q400" s="50" t="str">
        <f>IF(AND(Creditos!$C$12&lt;&gt;"",Creditos!$M$12="OK",35&lt;=Creditos!$H$12),IF(AND(E400&lt;Supuestos!$D$6,P400&gt;0.005),Supuestos!$D$6-E400,0),"")</f>
        <v/>
      </c>
      <c r="R400" s="48" t="str">
        <f>IF(AND(Creditos!$C$12&lt;&gt;"",Creditos!$M$12="OK",35&lt;=Creditos!$H$12),MAX(0,N400-L400),"")</f>
        <v/>
      </c>
      <c r="S400" s="46" t="str">
        <f>IF(AND(Creditos!$C$12&lt;&gt;"",Creditos!$M$12="OK",35&lt;=Creditos!$H$12),IF(R400&gt;0.005,"Exceso sin imputar",IF(P400&lt;=0.005,"Pagada",IF(E400&lt;Supuestos!$D$6,"Vencida",IF(E400=Supuestos!$D$6,"Vence hoy","Por vencer")))),"")</f>
        <v/>
      </c>
      <c r="T400" s="46">
        <f>IF(AND(Creditos!$C$12&lt;&gt;"",Creditos!$M$12="OK",35&lt;=Creditos!$H$12),IF(P400&gt;0.005,E400,999999),999999)</f>
        <v>999999</v>
      </c>
    </row>
    <row r="401" ht="25.5" customHeight="1">
      <c r="C401" s="46" t="str">
        <f>IF(AND(Creditos!$C$12&lt;&gt;"",Creditos!$M$12="OK",36&lt;=Creditos!$H$12),Creditos!$C$12,"")</f>
        <v/>
      </c>
      <c r="D401" s="46" t="str">
        <f>IF(AND(Creditos!$C$12&lt;&gt;"",Creditos!$M$12="OK",36&lt;=Creditos!$H$12),36,"")</f>
        <v/>
      </c>
      <c r="E401" s="47" t="str">
        <f>IF(AND(Creditos!$C$12&lt;&gt;"",Creditos!$M$12="OK",36&lt;=Creditos!$H$12),EDATE(Creditos!$I$12,35),"")</f>
        <v/>
      </c>
      <c r="F401" s="48" t="str">
        <f>IF(AND(Creditos!$C$12&lt;&gt;"",Creditos!$M$12="OK",36&lt;=Creditos!$H$12),M400,"")</f>
        <v/>
      </c>
      <c r="G401" s="49" t="str">
        <f>IF(AND(Creditos!$C$12&lt;&gt;"",Creditos!$M$12="OK",36&lt;=Creditos!$H$12),Creditos!$N$12,"")</f>
        <v/>
      </c>
      <c r="H401" s="48" t="str">
        <f>IF(AND(Creditos!$C$12&lt;&gt;"",Creditos!$M$12="OK",36&lt;=Creditos!$H$12),ROUND(F401*G401,2),"")</f>
        <v/>
      </c>
      <c r="I401" s="48" t="str">
        <f>IF(AND(Creditos!$C$12&lt;&gt;"",Creditos!$M$12="OK",36&lt;=Creditos!$H$12),IF(36=Creditos!$H$12,F401+H401,MIN(Creditos!$O$12,F401+H401)),"")</f>
        <v/>
      </c>
      <c r="J401" s="48" t="str">
        <f>IF(AND(Creditos!$C$12&lt;&gt;"",Creditos!$M$12="OK",36&lt;=Creditos!$H$12),MIN(F401,MAX(0,I401-H401)),"")</f>
        <v/>
      </c>
      <c r="K401" s="48" t="str">
        <f>IF(AND(Creditos!$C$12&lt;&gt;"",Creditos!$M$12="OK",36&lt;=Creditos!$H$12),Creditos!$J$12+Creditos!$K$12,"")</f>
        <v/>
      </c>
      <c r="L401" s="48" t="str">
        <f>IF(AND(Creditos!$C$12&lt;&gt;"",Creditos!$M$12="OK",36&lt;=Creditos!$H$12),I401+K401,"")</f>
        <v/>
      </c>
      <c r="M401" s="48" t="str">
        <f>IF(AND(Creditos!$C$12&lt;&gt;"",Creditos!$M$12="OK",36&lt;=Creditos!$H$12),MAX(0,F401-J401),"")</f>
        <v/>
      </c>
      <c r="N401" s="48" t="str">
        <f>IF(AND(Creditos!$C$12&lt;&gt;"",Creditos!$M$12="OK",36&lt;=Creditos!$H$12),SUMIFS(Pagos!$F$6:$F$305,Pagos!$C$6:$C$305,C401,Pagos!$D$6:$D$305,D401,Pagos!$E$6:$E$305,"&lt;="&amp;Supuestos!$D$6,Pagos!$H$6:$H$305,"OK"),"")</f>
        <v/>
      </c>
      <c r="O401" s="48" t="str">
        <f>IF(AND(Creditos!$C$12&lt;&gt;"",Creditos!$M$12="OK",36&lt;=Creditos!$H$12),MIN(J401,MAX(0,N401-K401-H401)),"")</f>
        <v/>
      </c>
      <c r="P401" s="48" t="str">
        <f>IF(AND(Creditos!$C$12&lt;&gt;"",Creditos!$M$12="OK",36&lt;=Creditos!$H$12),MAX(0,L401-N401),"")</f>
        <v/>
      </c>
      <c r="Q401" s="50" t="str">
        <f>IF(AND(Creditos!$C$12&lt;&gt;"",Creditos!$M$12="OK",36&lt;=Creditos!$H$12),IF(AND(E401&lt;Supuestos!$D$6,P401&gt;0.005),Supuestos!$D$6-E401,0),"")</f>
        <v/>
      </c>
      <c r="R401" s="48" t="str">
        <f>IF(AND(Creditos!$C$12&lt;&gt;"",Creditos!$M$12="OK",36&lt;=Creditos!$H$12),MAX(0,N401-L401),"")</f>
        <v/>
      </c>
      <c r="S401" s="46" t="str">
        <f>IF(AND(Creditos!$C$12&lt;&gt;"",Creditos!$M$12="OK",36&lt;=Creditos!$H$12),IF(R401&gt;0.005,"Exceso sin imputar",IF(P401&lt;=0.005,"Pagada",IF(E401&lt;Supuestos!$D$6,"Vencida",IF(E401=Supuestos!$D$6,"Vence hoy","Por vencer")))),"")</f>
        <v/>
      </c>
      <c r="T401" s="46">
        <f>IF(AND(Creditos!$C$12&lt;&gt;"",Creditos!$M$12="OK",36&lt;=Creditos!$H$12),IF(P401&gt;0.005,E401,999999),999999)</f>
        <v>999999</v>
      </c>
    </row>
    <row r="402" ht="25.5" customHeight="1">
      <c r="C402" s="46" t="str">
        <f>IF(AND(Creditos!$C$12&lt;&gt;"",Creditos!$M$12="OK",37&lt;=Creditos!$H$12),Creditos!$C$12,"")</f>
        <v/>
      </c>
      <c r="D402" s="46" t="str">
        <f>IF(AND(Creditos!$C$12&lt;&gt;"",Creditos!$M$12="OK",37&lt;=Creditos!$H$12),37,"")</f>
        <v/>
      </c>
      <c r="E402" s="47" t="str">
        <f>IF(AND(Creditos!$C$12&lt;&gt;"",Creditos!$M$12="OK",37&lt;=Creditos!$H$12),EDATE(Creditos!$I$12,36),"")</f>
        <v/>
      </c>
      <c r="F402" s="48" t="str">
        <f>IF(AND(Creditos!$C$12&lt;&gt;"",Creditos!$M$12="OK",37&lt;=Creditos!$H$12),M401,"")</f>
        <v/>
      </c>
      <c r="G402" s="49" t="str">
        <f>IF(AND(Creditos!$C$12&lt;&gt;"",Creditos!$M$12="OK",37&lt;=Creditos!$H$12),Creditos!$N$12,"")</f>
        <v/>
      </c>
      <c r="H402" s="48" t="str">
        <f>IF(AND(Creditos!$C$12&lt;&gt;"",Creditos!$M$12="OK",37&lt;=Creditos!$H$12),ROUND(F402*G402,2),"")</f>
        <v/>
      </c>
      <c r="I402" s="48" t="str">
        <f>IF(AND(Creditos!$C$12&lt;&gt;"",Creditos!$M$12="OK",37&lt;=Creditos!$H$12),IF(37=Creditos!$H$12,F402+H402,MIN(Creditos!$O$12,F402+H402)),"")</f>
        <v/>
      </c>
      <c r="J402" s="48" t="str">
        <f>IF(AND(Creditos!$C$12&lt;&gt;"",Creditos!$M$12="OK",37&lt;=Creditos!$H$12),MIN(F402,MAX(0,I402-H402)),"")</f>
        <v/>
      </c>
      <c r="K402" s="48" t="str">
        <f>IF(AND(Creditos!$C$12&lt;&gt;"",Creditos!$M$12="OK",37&lt;=Creditos!$H$12),Creditos!$J$12+Creditos!$K$12,"")</f>
        <v/>
      </c>
      <c r="L402" s="48" t="str">
        <f>IF(AND(Creditos!$C$12&lt;&gt;"",Creditos!$M$12="OK",37&lt;=Creditos!$H$12),I402+K402,"")</f>
        <v/>
      </c>
      <c r="M402" s="48" t="str">
        <f>IF(AND(Creditos!$C$12&lt;&gt;"",Creditos!$M$12="OK",37&lt;=Creditos!$H$12),MAX(0,F402-J402),"")</f>
        <v/>
      </c>
      <c r="N402" s="48" t="str">
        <f>IF(AND(Creditos!$C$12&lt;&gt;"",Creditos!$M$12="OK",37&lt;=Creditos!$H$12),SUMIFS(Pagos!$F$6:$F$305,Pagos!$C$6:$C$305,C402,Pagos!$D$6:$D$305,D402,Pagos!$E$6:$E$305,"&lt;="&amp;Supuestos!$D$6,Pagos!$H$6:$H$305,"OK"),"")</f>
        <v/>
      </c>
      <c r="O402" s="48" t="str">
        <f>IF(AND(Creditos!$C$12&lt;&gt;"",Creditos!$M$12="OK",37&lt;=Creditos!$H$12),MIN(J402,MAX(0,N402-K402-H402)),"")</f>
        <v/>
      </c>
      <c r="P402" s="48" t="str">
        <f>IF(AND(Creditos!$C$12&lt;&gt;"",Creditos!$M$12="OK",37&lt;=Creditos!$H$12),MAX(0,L402-N402),"")</f>
        <v/>
      </c>
      <c r="Q402" s="50" t="str">
        <f>IF(AND(Creditos!$C$12&lt;&gt;"",Creditos!$M$12="OK",37&lt;=Creditos!$H$12),IF(AND(E402&lt;Supuestos!$D$6,P402&gt;0.005),Supuestos!$D$6-E402,0),"")</f>
        <v/>
      </c>
      <c r="R402" s="48" t="str">
        <f>IF(AND(Creditos!$C$12&lt;&gt;"",Creditos!$M$12="OK",37&lt;=Creditos!$H$12),MAX(0,N402-L402),"")</f>
        <v/>
      </c>
      <c r="S402" s="46" t="str">
        <f>IF(AND(Creditos!$C$12&lt;&gt;"",Creditos!$M$12="OK",37&lt;=Creditos!$H$12),IF(R402&gt;0.005,"Exceso sin imputar",IF(P402&lt;=0.005,"Pagada",IF(E402&lt;Supuestos!$D$6,"Vencida",IF(E402=Supuestos!$D$6,"Vence hoy","Por vencer")))),"")</f>
        <v/>
      </c>
      <c r="T402" s="46">
        <f>IF(AND(Creditos!$C$12&lt;&gt;"",Creditos!$M$12="OK",37&lt;=Creditos!$H$12),IF(P402&gt;0.005,E402,999999),999999)</f>
        <v>999999</v>
      </c>
    </row>
    <row r="403" ht="25.5" customHeight="1">
      <c r="C403" s="46" t="str">
        <f>IF(AND(Creditos!$C$12&lt;&gt;"",Creditos!$M$12="OK",38&lt;=Creditos!$H$12),Creditos!$C$12,"")</f>
        <v/>
      </c>
      <c r="D403" s="46" t="str">
        <f>IF(AND(Creditos!$C$12&lt;&gt;"",Creditos!$M$12="OK",38&lt;=Creditos!$H$12),38,"")</f>
        <v/>
      </c>
      <c r="E403" s="47" t="str">
        <f>IF(AND(Creditos!$C$12&lt;&gt;"",Creditos!$M$12="OK",38&lt;=Creditos!$H$12),EDATE(Creditos!$I$12,37),"")</f>
        <v/>
      </c>
      <c r="F403" s="48" t="str">
        <f>IF(AND(Creditos!$C$12&lt;&gt;"",Creditos!$M$12="OK",38&lt;=Creditos!$H$12),M402,"")</f>
        <v/>
      </c>
      <c r="G403" s="49" t="str">
        <f>IF(AND(Creditos!$C$12&lt;&gt;"",Creditos!$M$12="OK",38&lt;=Creditos!$H$12),Creditos!$N$12,"")</f>
        <v/>
      </c>
      <c r="H403" s="48" t="str">
        <f>IF(AND(Creditos!$C$12&lt;&gt;"",Creditos!$M$12="OK",38&lt;=Creditos!$H$12),ROUND(F403*G403,2),"")</f>
        <v/>
      </c>
      <c r="I403" s="48" t="str">
        <f>IF(AND(Creditos!$C$12&lt;&gt;"",Creditos!$M$12="OK",38&lt;=Creditos!$H$12),IF(38=Creditos!$H$12,F403+H403,MIN(Creditos!$O$12,F403+H403)),"")</f>
        <v/>
      </c>
      <c r="J403" s="48" t="str">
        <f>IF(AND(Creditos!$C$12&lt;&gt;"",Creditos!$M$12="OK",38&lt;=Creditos!$H$12),MIN(F403,MAX(0,I403-H403)),"")</f>
        <v/>
      </c>
      <c r="K403" s="48" t="str">
        <f>IF(AND(Creditos!$C$12&lt;&gt;"",Creditos!$M$12="OK",38&lt;=Creditos!$H$12),Creditos!$J$12+Creditos!$K$12,"")</f>
        <v/>
      </c>
      <c r="L403" s="48" t="str">
        <f>IF(AND(Creditos!$C$12&lt;&gt;"",Creditos!$M$12="OK",38&lt;=Creditos!$H$12),I403+K403,"")</f>
        <v/>
      </c>
      <c r="M403" s="48" t="str">
        <f>IF(AND(Creditos!$C$12&lt;&gt;"",Creditos!$M$12="OK",38&lt;=Creditos!$H$12),MAX(0,F403-J403),"")</f>
        <v/>
      </c>
      <c r="N403" s="48" t="str">
        <f>IF(AND(Creditos!$C$12&lt;&gt;"",Creditos!$M$12="OK",38&lt;=Creditos!$H$12),SUMIFS(Pagos!$F$6:$F$305,Pagos!$C$6:$C$305,C403,Pagos!$D$6:$D$305,D403,Pagos!$E$6:$E$305,"&lt;="&amp;Supuestos!$D$6,Pagos!$H$6:$H$305,"OK"),"")</f>
        <v/>
      </c>
      <c r="O403" s="48" t="str">
        <f>IF(AND(Creditos!$C$12&lt;&gt;"",Creditos!$M$12="OK",38&lt;=Creditos!$H$12),MIN(J403,MAX(0,N403-K403-H403)),"")</f>
        <v/>
      </c>
      <c r="P403" s="48" t="str">
        <f>IF(AND(Creditos!$C$12&lt;&gt;"",Creditos!$M$12="OK",38&lt;=Creditos!$H$12),MAX(0,L403-N403),"")</f>
        <v/>
      </c>
      <c r="Q403" s="50" t="str">
        <f>IF(AND(Creditos!$C$12&lt;&gt;"",Creditos!$M$12="OK",38&lt;=Creditos!$H$12),IF(AND(E403&lt;Supuestos!$D$6,P403&gt;0.005),Supuestos!$D$6-E403,0),"")</f>
        <v/>
      </c>
      <c r="R403" s="48" t="str">
        <f>IF(AND(Creditos!$C$12&lt;&gt;"",Creditos!$M$12="OK",38&lt;=Creditos!$H$12),MAX(0,N403-L403),"")</f>
        <v/>
      </c>
      <c r="S403" s="46" t="str">
        <f>IF(AND(Creditos!$C$12&lt;&gt;"",Creditos!$M$12="OK",38&lt;=Creditos!$H$12),IF(R403&gt;0.005,"Exceso sin imputar",IF(P403&lt;=0.005,"Pagada",IF(E403&lt;Supuestos!$D$6,"Vencida",IF(E403=Supuestos!$D$6,"Vence hoy","Por vencer")))),"")</f>
        <v/>
      </c>
      <c r="T403" s="46">
        <f>IF(AND(Creditos!$C$12&lt;&gt;"",Creditos!$M$12="OK",38&lt;=Creditos!$H$12),IF(P403&gt;0.005,E403,999999),999999)</f>
        <v>999999</v>
      </c>
    </row>
    <row r="404" ht="25.5" customHeight="1">
      <c r="C404" s="46" t="str">
        <f>IF(AND(Creditos!$C$12&lt;&gt;"",Creditos!$M$12="OK",39&lt;=Creditos!$H$12),Creditos!$C$12,"")</f>
        <v/>
      </c>
      <c r="D404" s="46" t="str">
        <f>IF(AND(Creditos!$C$12&lt;&gt;"",Creditos!$M$12="OK",39&lt;=Creditos!$H$12),39,"")</f>
        <v/>
      </c>
      <c r="E404" s="47" t="str">
        <f>IF(AND(Creditos!$C$12&lt;&gt;"",Creditos!$M$12="OK",39&lt;=Creditos!$H$12),EDATE(Creditos!$I$12,38),"")</f>
        <v/>
      </c>
      <c r="F404" s="48" t="str">
        <f>IF(AND(Creditos!$C$12&lt;&gt;"",Creditos!$M$12="OK",39&lt;=Creditos!$H$12),M403,"")</f>
        <v/>
      </c>
      <c r="G404" s="49" t="str">
        <f>IF(AND(Creditos!$C$12&lt;&gt;"",Creditos!$M$12="OK",39&lt;=Creditos!$H$12),Creditos!$N$12,"")</f>
        <v/>
      </c>
      <c r="H404" s="48" t="str">
        <f>IF(AND(Creditos!$C$12&lt;&gt;"",Creditos!$M$12="OK",39&lt;=Creditos!$H$12),ROUND(F404*G404,2),"")</f>
        <v/>
      </c>
      <c r="I404" s="48" t="str">
        <f>IF(AND(Creditos!$C$12&lt;&gt;"",Creditos!$M$12="OK",39&lt;=Creditos!$H$12),IF(39=Creditos!$H$12,F404+H404,MIN(Creditos!$O$12,F404+H404)),"")</f>
        <v/>
      </c>
      <c r="J404" s="48" t="str">
        <f>IF(AND(Creditos!$C$12&lt;&gt;"",Creditos!$M$12="OK",39&lt;=Creditos!$H$12),MIN(F404,MAX(0,I404-H404)),"")</f>
        <v/>
      </c>
      <c r="K404" s="48" t="str">
        <f>IF(AND(Creditos!$C$12&lt;&gt;"",Creditos!$M$12="OK",39&lt;=Creditos!$H$12),Creditos!$J$12+Creditos!$K$12,"")</f>
        <v/>
      </c>
      <c r="L404" s="48" t="str">
        <f>IF(AND(Creditos!$C$12&lt;&gt;"",Creditos!$M$12="OK",39&lt;=Creditos!$H$12),I404+K404,"")</f>
        <v/>
      </c>
      <c r="M404" s="48" t="str">
        <f>IF(AND(Creditos!$C$12&lt;&gt;"",Creditos!$M$12="OK",39&lt;=Creditos!$H$12),MAX(0,F404-J404),"")</f>
        <v/>
      </c>
      <c r="N404" s="48" t="str">
        <f>IF(AND(Creditos!$C$12&lt;&gt;"",Creditos!$M$12="OK",39&lt;=Creditos!$H$12),SUMIFS(Pagos!$F$6:$F$305,Pagos!$C$6:$C$305,C404,Pagos!$D$6:$D$305,D404,Pagos!$E$6:$E$305,"&lt;="&amp;Supuestos!$D$6,Pagos!$H$6:$H$305,"OK"),"")</f>
        <v/>
      </c>
      <c r="O404" s="48" t="str">
        <f>IF(AND(Creditos!$C$12&lt;&gt;"",Creditos!$M$12="OK",39&lt;=Creditos!$H$12),MIN(J404,MAX(0,N404-K404-H404)),"")</f>
        <v/>
      </c>
      <c r="P404" s="48" t="str">
        <f>IF(AND(Creditos!$C$12&lt;&gt;"",Creditos!$M$12="OK",39&lt;=Creditos!$H$12),MAX(0,L404-N404),"")</f>
        <v/>
      </c>
      <c r="Q404" s="50" t="str">
        <f>IF(AND(Creditos!$C$12&lt;&gt;"",Creditos!$M$12="OK",39&lt;=Creditos!$H$12),IF(AND(E404&lt;Supuestos!$D$6,P404&gt;0.005),Supuestos!$D$6-E404,0),"")</f>
        <v/>
      </c>
      <c r="R404" s="48" t="str">
        <f>IF(AND(Creditos!$C$12&lt;&gt;"",Creditos!$M$12="OK",39&lt;=Creditos!$H$12),MAX(0,N404-L404),"")</f>
        <v/>
      </c>
      <c r="S404" s="46" t="str">
        <f>IF(AND(Creditos!$C$12&lt;&gt;"",Creditos!$M$12="OK",39&lt;=Creditos!$H$12),IF(R404&gt;0.005,"Exceso sin imputar",IF(P404&lt;=0.005,"Pagada",IF(E404&lt;Supuestos!$D$6,"Vencida",IF(E404=Supuestos!$D$6,"Vence hoy","Por vencer")))),"")</f>
        <v/>
      </c>
      <c r="T404" s="46">
        <f>IF(AND(Creditos!$C$12&lt;&gt;"",Creditos!$M$12="OK",39&lt;=Creditos!$H$12),IF(P404&gt;0.005,E404,999999),999999)</f>
        <v>999999</v>
      </c>
    </row>
    <row r="405" ht="25.5" customHeight="1">
      <c r="C405" s="46" t="str">
        <f>IF(AND(Creditos!$C$12&lt;&gt;"",Creditos!$M$12="OK",40&lt;=Creditos!$H$12),Creditos!$C$12,"")</f>
        <v/>
      </c>
      <c r="D405" s="46" t="str">
        <f>IF(AND(Creditos!$C$12&lt;&gt;"",Creditos!$M$12="OK",40&lt;=Creditos!$H$12),40,"")</f>
        <v/>
      </c>
      <c r="E405" s="47" t="str">
        <f>IF(AND(Creditos!$C$12&lt;&gt;"",Creditos!$M$12="OK",40&lt;=Creditos!$H$12),EDATE(Creditos!$I$12,39),"")</f>
        <v/>
      </c>
      <c r="F405" s="48" t="str">
        <f>IF(AND(Creditos!$C$12&lt;&gt;"",Creditos!$M$12="OK",40&lt;=Creditos!$H$12),M404,"")</f>
        <v/>
      </c>
      <c r="G405" s="49" t="str">
        <f>IF(AND(Creditos!$C$12&lt;&gt;"",Creditos!$M$12="OK",40&lt;=Creditos!$H$12),Creditos!$N$12,"")</f>
        <v/>
      </c>
      <c r="H405" s="48" t="str">
        <f>IF(AND(Creditos!$C$12&lt;&gt;"",Creditos!$M$12="OK",40&lt;=Creditos!$H$12),ROUND(F405*G405,2),"")</f>
        <v/>
      </c>
      <c r="I405" s="48" t="str">
        <f>IF(AND(Creditos!$C$12&lt;&gt;"",Creditos!$M$12="OK",40&lt;=Creditos!$H$12),IF(40=Creditos!$H$12,F405+H405,MIN(Creditos!$O$12,F405+H405)),"")</f>
        <v/>
      </c>
      <c r="J405" s="48" t="str">
        <f>IF(AND(Creditos!$C$12&lt;&gt;"",Creditos!$M$12="OK",40&lt;=Creditos!$H$12),MIN(F405,MAX(0,I405-H405)),"")</f>
        <v/>
      </c>
      <c r="K405" s="48" t="str">
        <f>IF(AND(Creditos!$C$12&lt;&gt;"",Creditos!$M$12="OK",40&lt;=Creditos!$H$12),Creditos!$J$12+Creditos!$K$12,"")</f>
        <v/>
      </c>
      <c r="L405" s="48" t="str">
        <f>IF(AND(Creditos!$C$12&lt;&gt;"",Creditos!$M$12="OK",40&lt;=Creditos!$H$12),I405+K405,"")</f>
        <v/>
      </c>
      <c r="M405" s="48" t="str">
        <f>IF(AND(Creditos!$C$12&lt;&gt;"",Creditos!$M$12="OK",40&lt;=Creditos!$H$12),MAX(0,F405-J405),"")</f>
        <v/>
      </c>
      <c r="N405" s="48" t="str">
        <f>IF(AND(Creditos!$C$12&lt;&gt;"",Creditos!$M$12="OK",40&lt;=Creditos!$H$12),SUMIFS(Pagos!$F$6:$F$305,Pagos!$C$6:$C$305,C405,Pagos!$D$6:$D$305,D405,Pagos!$E$6:$E$305,"&lt;="&amp;Supuestos!$D$6,Pagos!$H$6:$H$305,"OK"),"")</f>
        <v/>
      </c>
      <c r="O405" s="48" t="str">
        <f>IF(AND(Creditos!$C$12&lt;&gt;"",Creditos!$M$12="OK",40&lt;=Creditos!$H$12),MIN(J405,MAX(0,N405-K405-H405)),"")</f>
        <v/>
      </c>
      <c r="P405" s="48" t="str">
        <f>IF(AND(Creditos!$C$12&lt;&gt;"",Creditos!$M$12="OK",40&lt;=Creditos!$H$12),MAX(0,L405-N405),"")</f>
        <v/>
      </c>
      <c r="Q405" s="50" t="str">
        <f>IF(AND(Creditos!$C$12&lt;&gt;"",Creditos!$M$12="OK",40&lt;=Creditos!$H$12),IF(AND(E405&lt;Supuestos!$D$6,P405&gt;0.005),Supuestos!$D$6-E405,0),"")</f>
        <v/>
      </c>
      <c r="R405" s="48" t="str">
        <f>IF(AND(Creditos!$C$12&lt;&gt;"",Creditos!$M$12="OK",40&lt;=Creditos!$H$12),MAX(0,N405-L405),"")</f>
        <v/>
      </c>
      <c r="S405" s="46" t="str">
        <f>IF(AND(Creditos!$C$12&lt;&gt;"",Creditos!$M$12="OK",40&lt;=Creditos!$H$12),IF(R405&gt;0.005,"Exceso sin imputar",IF(P405&lt;=0.005,"Pagada",IF(E405&lt;Supuestos!$D$6,"Vencida",IF(E405=Supuestos!$D$6,"Vence hoy","Por vencer")))),"")</f>
        <v/>
      </c>
      <c r="T405" s="46">
        <f>IF(AND(Creditos!$C$12&lt;&gt;"",Creditos!$M$12="OK",40&lt;=Creditos!$H$12),IF(P405&gt;0.005,E405,999999),999999)</f>
        <v>999999</v>
      </c>
    </row>
    <row r="406" ht="25.5" customHeight="1">
      <c r="C406" s="46" t="str">
        <f>IF(AND(Creditos!$C$12&lt;&gt;"",Creditos!$M$12="OK",41&lt;=Creditos!$H$12),Creditos!$C$12,"")</f>
        <v/>
      </c>
      <c r="D406" s="46" t="str">
        <f>IF(AND(Creditos!$C$12&lt;&gt;"",Creditos!$M$12="OK",41&lt;=Creditos!$H$12),41,"")</f>
        <v/>
      </c>
      <c r="E406" s="47" t="str">
        <f>IF(AND(Creditos!$C$12&lt;&gt;"",Creditos!$M$12="OK",41&lt;=Creditos!$H$12),EDATE(Creditos!$I$12,40),"")</f>
        <v/>
      </c>
      <c r="F406" s="48" t="str">
        <f>IF(AND(Creditos!$C$12&lt;&gt;"",Creditos!$M$12="OK",41&lt;=Creditos!$H$12),M405,"")</f>
        <v/>
      </c>
      <c r="G406" s="49" t="str">
        <f>IF(AND(Creditos!$C$12&lt;&gt;"",Creditos!$M$12="OK",41&lt;=Creditos!$H$12),Creditos!$N$12,"")</f>
        <v/>
      </c>
      <c r="H406" s="48" t="str">
        <f>IF(AND(Creditos!$C$12&lt;&gt;"",Creditos!$M$12="OK",41&lt;=Creditos!$H$12),ROUND(F406*G406,2),"")</f>
        <v/>
      </c>
      <c r="I406" s="48" t="str">
        <f>IF(AND(Creditos!$C$12&lt;&gt;"",Creditos!$M$12="OK",41&lt;=Creditos!$H$12),IF(41=Creditos!$H$12,F406+H406,MIN(Creditos!$O$12,F406+H406)),"")</f>
        <v/>
      </c>
      <c r="J406" s="48" t="str">
        <f>IF(AND(Creditos!$C$12&lt;&gt;"",Creditos!$M$12="OK",41&lt;=Creditos!$H$12),MIN(F406,MAX(0,I406-H406)),"")</f>
        <v/>
      </c>
      <c r="K406" s="48" t="str">
        <f>IF(AND(Creditos!$C$12&lt;&gt;"",Creditos!$M$12="OK",41&lt;=Creditos!$H$12),Creditos!$J$12+Creditos!$K$12,"")</f>
        <v/>
      </c>
      <c r="L406" s="48" t="str">
        <f>IF(AND(Creditos!$C$12&lt;&gt;"",Creditos!$M$12="OK",41&lt;=Creditos!$H$12),I406+K406,"")</f>
        <v/>
      </c>
      <c r="M406" s="48" t="str">
        <f>IF(AND(Creditos!$C$12&lt;&gt;"",Creditos!$M$12="OK",41&lt;=Creditos!$H$12),MAX(0,F406-J406),"")</f>
        <v/>
      </c>
      <c r="N406" s="48" t="str">
        <f>IF(AND(Creditos!$C$12&lt;&gt;"",Creditos!$M$12="OK",41&lt;=Creditos!$H$12),SUMIFS(Pagos!$F$6:$F$305,Pagos!$C$6:$C$305,C406,Pagos!$D$6:$D$305,D406,Pagos!$E$6:$E$305,"&lt;="&amp;Supuestos!$D$6,Pagos!$H$6:$H$305,"OK"),"")</f>
        <v/>
      </c>
      <c r="O406" s="48" t="str">
        <f>IF(AND(Creditos!$C$12&lt;&gt;"",Creditos!$M$12="OK",41&lt;=Creditos!$H$12),MIN(J406,MAX(0,N406-K406-H406)),"")</f>
        <v/>
      </c>
      <c r="P406" s="48" t="str">
        <f>IF(AND(Creditos!$C$12&lt;&gt;"",Creditos!$M$12="OK",41&lt;=Creditos!$H$12),MAX(0,L406-N406),"")</f>
        <v/>
      </c>
      <c r="Q406" s="50" t="str">
        <f>IF(AND(Creditos!$C$12&lt;&gt;"",Creditos!$M$12="OK",41&lt;=Creditos!$H$12),IF(AND(E406&lt;Supuestos!$D$6,P406&gt;0.005),Supuestos!$D$6-E406,0),"")</f>
        <v/>
      </c>
      <c r="R406" s="48" t="str">
        <f>IF(AND(Creditos!$C$12&lt;&gt;"",Creditos!$M$12="OK",41&lt;=Creditos!$H$12),MAX(0,N406-L406),"")</f>
        <v/>
      </c>
      <c r="S406" s="46" t="str">
        <f>IF(AND(Creditos!$C$12&lt;&gt;"",Creditos!$M$12="OK",41&lt;=Creditos!$H$12),IF(R406&gt;0.005,"Exceso sin imputar",IF(P406&lt;=0.005,"Pagada",IF(E406&lt;Supuestos!$D$6,"Vencida",IF(E406=Supuestos!$D$6,"Vence hoy","Por vencer")))),"")</f>
        <v/>
      </c>
      <c r="T406" s="46">
        <f>IF(AND(Creditos!$C$12&lt;&gt;"",Creditos!$M$12="OK",41&lt;=Creditos!$H$12),IF(P406&gt;0.005,E406,999999),999999)</f>
        <v>999999</v>
      </c>
    </row>
    <row r="407" ht="25.5" customHeight="1">
      <c r="C407" s="46" t="str">
        <f>IF(AND(Creditos!$C$12&lt;&gt;"",Creditos!$M$12="OK",42&lt;=Creditos!$H$12),Creditos!$C$12,"")</f>
        <v/>
      </c>
      <c r="D407" s="46" t="str">
        <f>IF(AND(Creditos!$C$12&lt;&gt;"",Creditos!$M$12="OK",42&lt;=Creditos!$H$12),42,"")</f>
        <v/>
      </c>
      <c r="E407" s="47" t="str">
        <f>IF(AND(Creditos!$C$12&lt;&gt;"",Creditos!$M$12="OK",42&lt;=Creditos!$H$12),EDATE(Creditos!$I$12,41),"")</f>
        <v/>
      </c>
      <c r="F407" s="48" t="str">
        <f>IF(AND(Creditos!$C$12&lt;&gt;"",Creditos!$M$12="OK",42&lt;=Creditos!$H$12),M406,"")</f>
        <v/>
      </c>
      <c r="G407" s="49" t="str">
        <f>IF(AND(Creditos!$C$12&lt;&gt;"",Creditos!$M$12="OK",42&lt;=Creditos!$H$12),Creditos!$N$12,"")</f>
        <v/>
      </c>
      <c r="H407" s="48" t="str">
        <f>IF(AND(Creditos!$C$12&lt;&gt;"",Creditos!$M$12="OK",42&lt;=Creditos!$H$12),ROUND(F407*G407,2),"")</f>
        <v/>
      </c>
      <c r="I407" s="48" t="str">
        <f>IF(AND(Creditos!$C$12&lt;&gt;"",Creditos!$M$12="OK",42&lt;=Creditos!$H$12),IF(42=Creditos!$H$12,F407+H407,MIN(Creditos!$O$12,F407+H407)),"")</f>
        <v/>
      </c>
      <c r="J407" s="48" t="str">
        <f>IF(AND(Creditos!$C$12&lt;&gt;"",Creditos!$M$12="OK",42&lt;=Creditos!$H$12),MIN(F407,MAX(0,I407-H407)),"")</f>
        <v/>
      </c>
      <c r="K407" s="48" t="str">
        <f>IF(AND(Creditos!$C$12&lt;&gt;"",Creditos!$M$12="OK",42&lt;=Creditos!$H$12),Creditos!$J$12+Creditos!$K$12,"")</f>
        <v/>
      </c>
      <c r="L407" s="48" t="str">
        <f>IF(AND(Creditos!$C$12&lt;&gt;"",Creditos!$M$12="OK",42&lt;=Creditos!$H$12),I407+K407,"")</f>
        <v/>
      </c>
      <c r="M407" s="48" t="str">
        <f>IF(AND(Creditos!$C$12&lt;&gt;"",Creditos!$M$12="OK",42&lt;=Creditos!$H$12),MAX(0,F407-J407),"")</f>
        <v/>
      </c>
      <c r="N407" s="48" t="str">
        <f>IF(AND(Creditos!$C$12&lt;&gt;"",Creditos!$M$12="OK",42&lt;=Creditos!$H$12),SUMIFS(Pagos!$F$6:$F$305,Pagos!$C$6:$C$305,C407,Pagos!$D$6:$D$305,D407,Pagos!$E$6:$E$305,"&lt;="&amp;Supuestos!$D$6,Pagos!$H$6:$H$305,"OK"),"")</f>
        <v/>
      </c>
      <c r="O407" s="48" t="str">
        <f>IF(AND(Creditos!$C$12&lt;&gt;"",Creditos!$M$12="OK",42&lt;=Creditos!$H$12),MIN(J407,MAX(0,N407-K407-H407)),"")</f>
        <v/>
      </c>
      <c r="P407" s="48" t="str">
        <f>IF(AND(Creditos!$C$12&lt;&gt;"",Creditos!$M$12="OK",42&lt;=Creditos!$H$12),MAX(0,L407-N407),"")</f>
        <v/>
      </c>
      <c r="Q407" s="50" t="str">
        <f>IF(AND(Creditos!$C$12&lt;&gt;"",Creditos!$M$12="OK",42&lt;=Creditos!$H$12),IF(AND(E407&lt;Supuestos!$D$6,P407&gt;0.005),Supuestos!$D$6-E407,0),"")</f>
        <v/>
      </c>
      <c r="R407" s="48" t="str">
        <f>IF(AND(Creditos!$C$12&lt;&gt;"",Creditos!$M$12="OK",42&lt;=Creditos!$H$12),MAX(0,N407-L407),"")</f>
        <v/>
      </c>
      <c r="S407" s="46" t="str">
        <f>IF(AND(Creditos!$C$12&lt;&gt;"",Creditos!$M$12="OK",42&lt;=Creditos!$H$12),IF(R407&gt;0.005,"Exceso sin imputar",IF(P407&lt;=0.005,"Pagada",IF(E407&lt;Supuestos!$D$6,"Vencida",IF(E407=Supuestos!$D$6,"Vence hoy","Por vencer")))),"")</f>
        <v/>
      </c>
      <c r="T407" s="46">
        <f>IF(AND(Creditos!$C$12&lt;&gt;"",Creditos!$M$12="OK",42&lt;=Creditos!$H$12),IF(P407&gt;0.005,E407,999999),999999)</f>
        <v>999999</v>
      </c>
    </row>
    <row r="408" ht="25.5" customHeight="1">
      <c r="C408" s="46" t="str">
        <f>IF(AND(Creditos!$C$12&lt;&gt;"",Creditos!$M$12="OK",43&lt;=Creditos!$H$12),Creditos!$C$12,"")</f>
        <v/>
      </c>
      <c r="D408" s="46" t="str">
        <f>IF(AND(Creditos!$C$12&lt;&gt;"",Creditos!$M$12="OK",43&lt;=Creditos!$H$12),43,"")</f>
        <v/>
      </c>
      <c r="E408" s="47" t="str">
        <f>IF(AND(Creditos!$C$12&lt;&gt;"",Creditos!$M$12="OK",43&lt;=Creditos!$H$12),EDATE(Creditos!$I$12,42),"")</f>
        <v/>
      </c>
      <c r="F408" s="48" t="str">
        <f>IF(AND(Creditos!$C$12&lt;&gt;"",Creditos!$M$12="OK",43&lt;=Creditos!$H$12),M407,"")</f>
        <v/>
      </c>
      <c r="G408" s="49" t="str">
        <f>IF(AND(Creditos!$C$12&lt;&gt;"",Creditos!$M$12="OK",43&lt;=Creditos!$H$12),Creditos!$N$12,"")</f>
        <v/>
      </c>
      <c r="H408" s="48" t="str">
        <f>IF(AND(Creditos!$C$12&lt;&gt;"",Creditos!$M$12="OK",43&lt;=Creditos!$H$12),ROUND(F408*G408,2),"")</f>
        <v/>
      </c>
      <c r="I408" s="48" t="str">
        <f>IF(AND(Creditos!$C$12&lt;&gt;"",Creditos!$M$12="OK",43&lt;=Creditos!$H$12),IF(43=Creditos!$H$12,F408+H408,MIN(Creditos!$O$12,F408+H408)),"")</f>
        <v/>
      </c>
      <c r="J408" s="48" t="str">
        <f>IF(AND(Creditos!$C$12&lt;&gt;"",Creditos!$M$12="OK",43&lt;=Creditos!$H$12),MIN(F408,MAX(0,I408-H408)),"")</f>
        <v/>
      </c>
      <c r="K408" s="48" t="str">
        <f>IF(AND(Creditos!$C$12&lt;&gt;"",Creditos!$M$12="OK",43&lt;=Creditos!$H$12),Creditos!$J$12+Creditos!$K$12,"")</f>
        <v/>
      </c>
      <c r="L408" s="48" t="str">
        <f>IF(AND(Creditos!$C$12&lt;&gt;"",Creditos!$M$12="OK",43&lt;=Creditos!$H$12),I408+K408,"")</f>
        <v/>
      </c>
      <c r="M408" s="48" t="str">
        <f>IF(AND(Creditos!$C$12&lt;&gt;"",Creditos!$M$12="OK",43&lt;=Creditos!$H$12),MAX(0,F408-J408),"")</f>
        <v/>
      </c>
      <c r="N408" s="48" t="str">
        <f>IF(AND(Creditos!$C$12&lt;&gt;"",Creditos!$M$12="OK",43&lt;=Creditos!$H$12),SUMIFS(Pagos!$F$6:$F$305,Pagos!$C$6:$C$305,C408,Pagos!$D$6:$D$305,D408,Pagos!$E$6:$E$305,"&lt;="&amp;Supuestos!$D$6,Pagos!$H$6:$H$305,"OK"),"")</f>
        <v/>
      </c>
      <c r="O408" s="48" t="str">
        <f>IF(AND(Creditos!$C$12&lt;&gt;"",Creditos!$M$12="OK",43&lt;=Creditos!$H$12),MIN(J408,MAX(0,N408-K408-H408)),"")</f>
        <v/>
      </c>
      <c r="P408" s="48" t="str">
        <f>IF(AND(Creditos!$C$12&lt;&gt;"",Creditos!$M$12="OK",43&lt;=Creditos!$H$12),MAX(0,L408-N408),"")</f>
        <v/>
      </c>
      <c r="Q408" s="50" t="str">
        <f>IF(AND(Creditos!$C$12&lt;&gt;"",Creditos!$M$12="OK",43&lt;=Creditos!$H$12),IF(AND(E408&lt;Supuestos!$D$6,P408&gt;0.005),Supuestos!$D$6-E408,0),"")</f>
        <v/>
      </c>
      <c r="R408" s="48" t="str">
        <f>IF(AND(Creditos!$C$12&lt;&gt;"",Creditos!$M$12="OK",43&lt;=Creditos!$H$12),MAX(0,N408-L408),"")</f>
        <v/>
      </c>
      <c r="S408" s="46" t="str">
        <f>IF(AND(Creditos!$C$12&lt;&gt;"",Creditos!$M$12="OK",43&lt;=Creditos!$H$12),IF(R408&gt;0.005,"Exceso sin imputar",IF(P408&lt;=0.005,"Pagada",IF(E408&lt;Supuestos!$D$6,"Vencida",IF(E408=Supuestos!$D$6,"Vence hoy","Por vencer")))),"")</f>
        <v/>
      </c>
      <c r="T408" s="46">
        <f>IF(AND(Creditos!$C$12&lt;&gt;"",Creditos!$M$12="OK",43&lt;=Creditos!$H$12),IF(P408&gt;0.005,E408,999999),999999)</f>
        <v>999999</v>
      </c>
    </row>
    <row r="409" ht="25.5" customHeight="1">
      <c r="C409" s="46" t="str">
        <f>IF(AND(Creditos!$C$12&lt;&gt;"",Creditos!$M$12="OK",44&lt;=Creditos!$H$12),Creditos!$C$12,"")</f>
        <v/>
      </c>
      <c r="D409" s="46" t="str">
        <f>IF(AND(Creditos!$C$12&lt;&gt;"",Creditos!$M$12="OK",44&lt;=Creditos!$H$12),44,"")</f>
        <v/>
      </c>
      <c r="E409" s="47" t="str">
        <f>IF(AND(Creditos!$C$12&lt;&gt;"",Creditos!$M$12="OK",44&lt;=Creditos!$H$12),EDATE(Creditos!$I$12,43),"")</f>
        <v/>
      </c>
      <c r="F409" s="48" t="str">
        <f>IF(AND(Creditos!$C$12&lt;&gt;"",Creditos!$M$12="OK",44&lt;=Creditos!$H$12),M408,"")</f>
        <v/>
      </c>
      <c r="G409" s="49" t="str">
        <f>IF(AND(Creditos!$C$12&lt;&gt;"",Creditos!$M$12="OK",44&lt;=Creditos!$H$12),Creditos!$N$12,"")</f>
        <v/>
      </c>
      <c r="H409" s="48" t="str">
        <f>IF(AND(Creditos!$C$12&lt;&gt;"",Creditos!$M$12="OK",44&lt;=Creditos!$H$12),ROUND(F409*G409,2),"")</f>
        <v/>
      </c>
      <c r="I409" s="48" t="str">
        <f>IF(AND(Creditos!$C$12&lt;&gt;"",Creditos!$M$12="OK",44&lt;=Creditos!$H$12),IF(44=Creditos!$H$12,F409+H409,MIN(Creditos!$O$12,F409+H409)),"")</f>
        <v/>
      </c>
      <c r="J409" s="48" t="str">
        <f>IF(AND(Creditos!$C$12&lt;&gt;"",Creditos!$M$12="OK",44&lt;=Creditos!$H$12),MIN(F409,MAX(0,I409-H409)),"")</f>
        <v/>
      </c>
      <c r="K409" s="48" t="str">
        <f>IF(AND(Creditos!$C$12&lt;&gt;"",Creditos!$M$12="OK",44&lt;=Creditos!$H$12),Creditos!$J$12+Creditos!$K$12,"")</f>
        <v/>
      </c>
      <c r="L409" s="48" t="str">
        <f>IF(AND(Creditos!$C$12&lt;&gt;"",Creditos!$M$12="OK",44&lt;=Creditos!$H$12),I409+K409,"")</f>
        <v/>
      </c>
      <c r="M409" s="48" t="str">
        <f>IF(AND(Creditos!$C$12&lt;&gt;"",Creditos!$M$12="OK",44&lt;=Creditos!$H$12),MAX(0,F409-J409),"")</f>
        <v/>
      </c>
      <c r="N409" s="48" t="str">
        <f>IF(AND(Creditos!$C$12&lt;&gt;"",Creditos!$M$12="OK",44&lt;=Creditos!$H$12),SUMIFS(Pagos!$F$6:$F$305,Pagos!$C$6:$C$305,C409,Pagos!$D$6:$D$305,D409,Pagos!$E$6:$E$305,"&lt;="&amp;Supuestos!$D$6,Pagos!$H$6:$H$305,"OK"),"")</f>
        <v/>
      </c>
      <c r="O409" s="48" t="str">
        <f>IF(AND(Creditos!$C$12&lt;&gt;"",Creditos!$M$12="OK",44&lt;=Creditos!$H$12),MIN(J409,MAX(0,N409-K409-H409)),"")</f>
        <v/>
      </c>
      <c r="P409" s="48" t="str">
        <f>IF(AND(Creditos!$C$12&lt;&gt;"",Creditos!$M$12="OK",44&lt;=Creditos!$H$12),MAX(0,L409-N409),"")</f>
        <v/>
      </c>
      <c r="Q409" s="50" t="str">
        <f>IF(AND(Creditos!$C$12&lt;&gt;"",Creditos!$M$12="OK",44&lt;=Creditos!$H$12),IF(AND(E409&lt;Supuestos!$D$6,P409&gt;0.005),Supuestos!$D$6-E409,0),"")</f>
        <v/>
      </c>
      <c r="R409" s="48" t="str">
        <f>IF(AND(Creditos!$C$12&lt;&gt;"",Creditos!$M$12="OK",44&lt;=Creditos!$H$12),MAX(0,N409-L409),"")</f>
        <v/>
      </c>
      <c r="S409" s="46" t="str">
        <f>IF(AND(Creditos!$C$12&lt;&gt;"",Creditos!$M$12="OK",44&lt;=Creditos!$H$12),IF(R409&gt;0.005,"Exceso sin imputar",IF(P409&lt;=0.005,"Pagada",IF(E409&lt;Supuestos!$D$6,"Vencida",IF(E409=Supuestos!$D$6,"Vence hoy","Por vencer")))),"")</f>
        <v/>
      </c>
      <c r="T409" s="46">
        <f>IF(AND(Creditos!$C$12&lt;&gt;"",Creditos!$M$12="OK",44&lt;=Creditos!$H$12),IF(P409&gt;0.005,E409,999999),999999)</f>
        <v>999999</v>
      </c>
    </row>
    <row r="410" ht="25.5" customHeight="1">
      <c r="C410" s="46" t="str">
        <f>IF(AND(Creditos!$C$12&lt;&gt;"",Creditos!$M$12="OK",45&lt;=Creditos!$H$12),Creditos!$C$12,"")</f>
        <v/>
      </c>
      <c r="D410" s="46" t="str">
        <f>IF(AND(Creditos!$C$12&lt;&gt;"",Creditos!$M$12="OK",45&lt;=Creditos!$H$12),45,"")</f>
        <v/>
      </c>
      <c r="E410" s="47" t="str">
        <f>IF(AND(Creditos!$C$12&lt;&gt;"",Creditos!$M$12="OK",45&lt;=Creditos!$H$12),EDATE(Creditos!$I$12,44),"")</f>
        <v/>
      </c>
      <c r="F410" s="48" t="str">
        <f>IF(AND(Creditos!$C$12&lt;&gt;"",Creditos!$M$12="OK",45&lt;=Creditos!$H$12),M409,"")</f>
        <v/>
      </c>
      <c r="G410" s="49" t="str">
        <f>IF(AND(Creditos!$C$12&lt;&gt;"",Creditos!$M$12="OK",45&lt;=Creditos!$H$12),Creditos!$N$12,"")</f>
        <v/>
      </c>
      <c r="H410" s="48" t="str">
        <f>IF(AND(Creditos!$C$12&lt;&gt;"",Creditos!$M$12="OK",45&lt;=Creditos!$H$12),ROUND(F410*G410,2),"")</f>
        <v/>
      </c>
      <c r="I410" s="48" t="str">
        <f>IF(AND(Creditos!$C$12&lt;&gt;"",Creditos!$M$12="OK",45&lt;=Creditos!$H$12),IF(45=Creditos!$H$12,F410+H410,MIN(Creditos!$O$12,F410+H410)),"")</f>
        <v/>
      </c>
      <c r="J410" s="48" t="str">
        <f>IF(AND(Creditos!$C$12&lt;&gt;"",Creditos!$M$12="OK",45&lt;=Creditos!$H$12),MIN(F410,MAX(0,I410-H410)),"")</f>
        <v/>
      </c>
      <c r="K410" s="48" t="str">
        <f>IF(AND(Creditos!$C$12&lt;&gt;"",Creditos!$M$12="OK",45&lt;=Creditos!$H$12),Creditos!$J$12+Creditos!$K$12,"")</f>
        <v/>
      </c>
      <c r="L410" s="48" t="str">
        <f>IF(AND(Creditos!$C$12&lt;&gt;"",Creditos!$M$12="OK",45&lt;=Creditos!$H$12),I410+K410,"")</f>
        <v/>
      </c>
      <c r="M410" s="48" t="str">
        <f>IF(AND(Creditos!$C$12&lt;&gt;"",Creditos!$M$12="OK",45&lt;=Creditos!$H$12),MAX(0,F410-J410),"")</f>
        <v/>
      </c>
      <c r="N410" s="48" t="str">
        <f>IF(AND(Creditos!$C$12&lt;&gt;"",Creditos!$M$12="OK",45&lt;=Creditos!$H$12),SUMIFS(Pagos!$F$6:$F$305,Pagos!$C$6:$C$305,C410,Pagos!$D$6:$D$305,D410,Pagos!$E$6:$E$305,"&lt;="&amp;Supuestos!$D$6,Pagos!$H$6:$H$305,"OK"),"")</f>
        <v/>
      </c>
      <c r="O410" s="48" t="str">
        <f>IF(AND(Creditos!$C$12&lt;&gt;"",Creditos!$M$12="OK",45&lt;=Creditos!$H$12),MIN(J410,MAX(0,N410-K410-H410)),"")</f>
        <v/>
      </c>
      <c r="P410" s="48" t="str">
        <f>IF(AND(Creditos!$C$12&lt;&gt;"",Creditos!$M$12="OK",45&lt;=Creditos!$H$12),MAX(0,L410-N410),"")</f>
        <v/>
      </c>
      <c r="Q410" s="50" t="str">
        <f>IF(AND(Creditos!$C$12&lt;&gt;"",Creditos!$M$12="OK",45&lt;=Creditos!$H$12),IF(AND(E410&lt;Supuestos!$D$6,P410&gt;0.005),Supuestos!$D$6-E410,0),"")</f>
        <v/>
      </c>
      <c r="R410" s="48" t="str">
        <f>IF(AND(Creditos!$C$12&lt;&gt;"",Creditos!$M$12="OK",45&lt;=Creditos!$H$12),MAX(0,N410-L410),"")</f>
        <v/>
      </c>
      <c r="S410" s="46" t="str">
        <f>IF(AND(Creditos!$C$12&lt;&gt;"",Creditos!$M$12="OK",45&lt;=Creditos!$H$12),IF(R410&gt;0.005,"Exceso sin imputar",IF(P410&lt;=0.005,"Pagada",IF(E410&lt;Supuestos!$D$6,"Vencida",IF(E410=Supuestos!$D$6,"Vence hoy","Por vencer")))),"")</f>
        <v/>
      </c>
      <c r="T410" s="46">
        <f>IF(AND(Creditos!$C$12&lt;&gt;"",Creditos!$M$12="OK",45&lt;=Creditos!$H$12),IF(P410&gt;0.005,E410,999999),999999)</f>
        <v>999999</v>
      </c>
    </row>
    <row r="411" ht="25.5" customHeight="1">
      <c r="C411" s="46" t="str">
        <f>IF(AND(Creditos!$C$12&lt;&gt;"",Creditos!$M$12="OK",46&lt;=Creditos!$H$12),Creditos!$C$12,"")</f>
        <v/>
      </c>
      <c r="D411" s="46" t="str">
        <f>IF(AND(Creditos!$C$12&lt;&gt;"",Creditos!$M$12="OK",46&lt;=Creditos!$H$12),46,"")</f>
        <v/>
      </c>
      <c r="E411" s="47" t="str">
        <f>IF(AND(Creditos!$C$12&lt;&gt;"",Creditos!$M$12="OK",46&lt;=Creditos!$H$12),EDATE(Creditos!$I$12,45),"")</f>
        <v/>
      </c>
      <c r="F411" s="48" t="str">
        <f>IF(AND(Creditos!$C$12&lt;&gt;"",Creditos!$M$12="OK",46&lt;=Creditos!$H$12),M410,"")</f>
        <v/>
      </c>
      <c r="G411" s="49" t="str">
        <f>IF(AND(Creditos!$C$12&lt;&gt;"",Creditos!$M$12="OK",46&lt;=Creditos!$H$12),Creditos!$N$12,"")</f>
        <v/>
      </c>
      <c r="H411" s="48" t="str">
        <f>IF(AND(Creditos!$C$12&lt;&gt;"",Creditos!$M$12="OK",46&lt;=Creditos!$H$12),ROUND(F411*G411,2),"")</f>
        <v/>
      </c>
      <c r="I411" s="48" t="str">
        <f>IF(AND(Creditos!$C$12&lt;&gt;"",Creditos!$M$12="OK",46&lt;=Creditos!$H$12),IF(46=Creditos!$H$12,F411+H411,MIN(Creditos!$O$12,F411+H411)),"")</f>
        <v/>
      </c>
      <c r="J411" s="48" t="str">
        <f>IF(AND(Creditos!$C$12&lt;&gt;"",Creditos!$M$12="OK",46&lt;=Creditos!$H$12),MIN(F411,MAX(0,I411-H411)),"")</f>
        <v/>
      </c>
      <c r="K411" s="48" t="str">
        <f>IF(AND(Creditos!$C$12&lt;&gt;"",Creditos!$M$12="OK",46&lt;=Creditos!$H$12),Creditos!$J$12+Creditos!$K$12,"")</f>
        <v/>
      </c>
      <c r="L411" s="48" t="str">
        <f>IF(AND(Creditos!$C$12&lt;&gt;"",Creditos!$M$12="OK",46&lt;=Creditos!$H$12),I411+K411,"")</f>
        <v/>
      </c>
      <c r="M411" s="48" t="str">
        <f>IF(AND(Creditos!$C$12&lt;&gt;"",Creditos!$M$12="OK",46&lt;=Creditos!$H$12),MAX(0,F411-J411),"")</f>
        <v/>
      </c>
      <c r="N411" s="48" t="str">
        <f>IF(AND(Creditos!$C$12&lt;&gt;"",Creditos!$M$12="OK",46&lt;=Creditos!$H$12),SUMIFS(Pagos!$F$6:$F$305,Pagos!$C$6:$C$305,C411,Pagos!$D$6:$D$305,D411,Pagos!$E$6:$E$305,"&lt;="&amp;Supuestos!$D$6,Pagos!$H$6:$H$305,"OK"),"")</f>
        <v/>
      </c>
      <c r="O411" s="48" t="str">
        <f>IF(AND(Creditos!$C$12&lt;&gt;"",Creditos!$M$12="OK",46&lt;=Creditos!$H$12),MIN(J411,MAX(0,N411-K411-H411)),"")</f>
        <v/>
      </c>
      <c r="P411" s="48" t="str">
        <f>IF(AND(Creditos!$C$12&lt;&gt;"",Creditos!$M$12="OK",46&lt;=Creditos!$H$12),MAX(0,L411-N411),"")</f>
        <v/>
      </c>
      <c r="Q411" s="50" t="str">
        <f>IF(AND(Creditos!$C$12&lt;&gt;"",Creditos!$M$12="OK",46&lt;=Creditos!$H$12),IF(AND(E411&lt;Supuestos!$D$6,P411&gt;0.005),Supuestos!$D$6-E411,0),"")</f>
        <v/>
      </c>
      <c r="R411" s="48" t="str">
        <f>IF(AND(Creditos!$C$12&lt;&gt;"",Creditos!$M$12="OK",46&lt;=Creditos!$H$12),MAX(0,N411-L411),"")</f>
        <v/>
      </c>
      <c r="S411" s="46" t="str">
        <f>IF(AND(Creditos!$C$12&lt;&gt;"",Creditos!$M$12="OK",46&lt;=Creditos!$H$12),IF(R411&gt;0.005,"Exceso sin imputar",IF(P411&lt;=0.005,"Pagada",IF(E411&lt;Supuestos!$D$6,"Vencida",IF(E411=Supuestos!$D$6,"Vence hoy","Por vencer")))),"")</f>
        <v/>
      </c>
      <c r="T411" s="46">
        <f>IF(AND(Creditos!$C$12&lt;&gt;"",Creditos!$M$12="OK",46&lt;=Creditos!$H$12),IF(P411&gt;0.005,E411,999999),999999)</f>
        <v>999999</v>
      </c>
    </row>
    <row r="412" ht="25.5" customHeight="1">
      <c r="C412" s="46" t="str">
        <f>IF(AND(Creditos!$C$12&lt;&gt;"",Creditos!$M$12="OK",47&lt;=Creditos!$H$12),Creditos!$C$12,"")</f>
        <v/>
      </c>
      <c r="D412" s="46" t="str">
        <f>IF(AND(Creditos!$C$12&lt;&gt;"",Creditos!$M$12="OK",47&lt;=Creditos!$H$12),47,"")</f>
        <v/>
      </c>
      <c r="E412" s="47" t="str">
        <f>IF(AND(Creditos!$C$12&lt;&gt;"",Creditos!$M$12="OK",47&lt;=Creditos!$H$12),EDATE(Creditos!$I$12,46),"")</f>
        <v/>
      </c>
      <c r="F412" s="48" t="str">
        <f>IF(AND(Creditos!$C$12&lt;&gt;"",Creditos!$M$12="OK",47&lt;=Creditos!$H$12),M411,"")</f>
        <v/>
      </c>
      <c r="G412" s="49" t="str">
        <f>IF(AND(Creditos!$C$12&lt;&gt;"",Creditos!$M$12="OK",47&lt;=Creditos!$H$12),Creditos!$N$12,"")</f>
        <v/>
      </c>
      <c r="H412" s="48" t="str">
        <f>IF(AND(Creditos!$C$12&lt;&gt;"",Creditos!$M$12="OK",47&lt;=Creditos!$H$12),ROUND(F412*G412,2),"")</f>
        <v/>
      </c>
      <c r="I412" s="48" t="str">
        <f>IF(AND(Creditos!$C$12&lt;&gt;"",Creditos!$M$12="OK",47&lt;=Creditos!$H$12),IF(47=Creditos!$H$12,F412+H412,MIN(Creditos!$O$12,F412+H412)),"")</f>
        <v/>
      </c>
      <c r="J412" s="48" t="str">
        <f>IF(AND(Creditos!$C$12&lt;&gt;"",Creditos!$M$12="OK",47&lt;=Creditos!$H$12),MIN(F412,MAX(0,I412-H412)),"")</f>
        <v/>
      </c>
      <c r="K412" s="48" t="str">
        <f>IF(AND(Creditos!$C$12&lt;&gt;"",Creditos!$M$12="OK",47&lt;=Creditos!$H$12),Creditos!$J$12+Creditos!$K$12,"")</f>
        <v/>
      </c>
      <c r="L412" s="48" t="str">
        <f>IF(AND(Creditos!$C$12&lt;&gt;"",Creditos!$M$12="OK",47&lt;=Creditos!$H$12),I412+K412,"")</f>
        <v/>
      </c>
      <c r="M412" s="48" t="str">
        <f>IF(AND(Creditos!$C$12&lt;&gt;"",Creditos!$M$12="OK",47&lt;=Creditos!$H$12),MAX(0,F412-J412),"")</f>
        <v/>
      </c>
      <c r="N412" s="48" t="str">
        <f>IF(AND(Creditos!$C$12&lt;&gt;"",Creditos!$M$12="OK",47&lt;=Creditos!$H$12),SUMIFS(Pagos!$F$6:$F$305,Pagos!$C$6:$C$305,C412,Pagos!$D$6:$D$305,D412,Pagos!$E$6:$E$305,"&lt;="&amp;Supuestos!$D$6,Pagos!$H$6:$H$305,"OK"),"")</f>
        <v/>
      </c>
      <c r="O412" s="48" t="str">
        <f>IF(AND(Creditos!$C$12&lt;&gt;"",Creditos!$M$12="OK",47&lt;=Creditos!$H$12),MIN(J412,MAX(0,N412-K412-H412)),"")</f>
        <v/>
      </c>
      <c r="P412" s="48" t="str">
        <f>IF(AND(Creditos!$C$12&lt;&gt;"",Creditos!$M$12="OK",47&lt;=Creditos!$H$12),MAX(0,L412-N412),"")</f>
        <v/>
      </c>
      <c r="Q412" s="50" t="str">
        <f>IF(AND(Creditos!$C$12&lt;&gt;"",Creditos!$M$12="OK",47&lt;=Creditos!$H$12),IF(AND(E412&lt;Supuestos!$D$6,P412&gt;0.005),Supuestos!$D$6-E412,0),"")</f>
        <v/>
      </c>
      <c r="R412" s="48" t="str">
        <f>IF(AND(Creditos!$C$12&lt;&gt;"",Creditos!$M$12="OK",47&lt;=Creditos!$H$12),MAX(0,N412-L412),"")</f>
        <v/>
      </c>
      <c r="S412" s="46" t="str">
        <f>IF(AND(Creditos!$C$12&lt;&gt;"",Creditos!$M$12="OK",47&lt;=Creditos!$H$12),IF(R412&gt;0.005,"Exceso sin imputar",IF(P412&lt;=0.005,"Pagada",IF(E412&lt;Supuestos!$D$6,"Vencida",IF(E412=Supuestos!$D$6,"Vence hoy","Por vencer")))),"")</f>
        <v/>
      </c>
      <c r="T412" s="46">
        <f>IF(AND(Creditos!$C$12&lt;&gt;"",Creditos!$M$12="OK",47&lt;=Creditos!$H$12),IF(P412&gt;0.005,E412,999999),999999)</f>
        <v>999999</v>
      </c>
    </row>
    <row r="413" ht="25.5" customHeight="1">
      <c r="C413" s="46" t="str">
        <f>IF(AND(Creditos!$C$12&lt;&gt;"",Creditos!$M$12="OK",48&lt;=Creditos!$H$12),Creditos!$C$12,"")</f>
        <v/>
      </c>
      <c r="D413" s="46" t="str">
        <f>IF(AND(Creditos!$C$12&lt;&gt;"",Creditos!$M$12="OK",48&lt;=Creditos!$H$12),48,"")</f>
        <v/>
      </c>
      <c r="E413" s="47" t="str">
        <f>IF(AND(Creditos!$C$12&lt;&gt;"",Creditos!$M$12="OK",48&lt;=Creditos!$H$12),EDATE(Creditos!$I$12,47),"")</f>
        <v/>
      </c>
      <c r="F413" s="48" t="str">
        <f>IF(AND(Creditos!$C$12&lt;&gt;"",Creditos!$M$12="OK",48&lt;=Creditos!$H$12),M412,"")</f>
        <v/>
      </c>
      <c r="G413" s="49" t="str">
        <f>IF(AND(Creditos!$C$12&lt;&gt;"",Creditos!$M$12="OK",48&lt;=Creditos!$H$12),Creditos!$N$12,"")</f>
        <v/>
      </c>
      <c r="H413" s="48" t="str">
        <f>IF(AND(Creditos!$C$12&lt;&gt;"",Creditos!$M$12="OK",48&lt;=Creditos!$H$12),ROUND(F413*G413,2),"")</f>
        <v/>
      </c>
      <c r="I413" s="48" t="str">
        <f>IF(AND(Creditos!$C$12&lt;&gt;"",Creditos!$M$12="OK",48&lt;=Creditos!$H$12),IF(48=Creditos!$H$12,F413+H413,MIN(Creditos!$O$12,F413+H413)),"")</f>
        <v/>
      </c>
      <c r="J413" s="48" t="str">
        <f>IF(AND(Creditos!$C$12&lt;&gt;"",Creditos!$M$12="OK",48&lt;=Creditos!$H$12),MIN(F413,MAX(0,I413-H413)),"")</f>
        <v/>
      </c>
      <c r="K413" s="48" t="str">
        <f>IF(AND(Creditos!$C$12&lt;&gt;"",Creditos!$M$12="OK",48&lt;=Creditos!$H$12),Creditos!$J$12+Creditos!$K$12,"")</f>
        <v/>
      </c>
      <c r="L413" s="48" t="str">
        <f>IF(AND(Creditos!$C$12&lt;&gt;"",Creditos!$M$12="OK",48&lt;=Creditos!$H$12),I413+K413,"")</f>
        <v/>
      </c>
      <c r="M413" s="48" t="str">
        <f>IF(AND(Creditos!$C$12&lt;&gt;"",Creditos!$M$12="OK",48&lt;=Creditos!$H$12),MAX(0,F413-J413),"")</f>
        <v/>
      </c>
      <c r="N413" s="48" t="str">
        <f>IF(AND(Creditos!$C$12&lt;&gt;"",Creditos!$M$12="OK",48&lt;=Creditos!$H$12),SUMIFS(Pagos!$F$6:$F$305,Pagos!$C$6:$C$305,C413,Pagos!$D$6:$D$305,D413,Pagos!$E$6:$E$305,"&lt;="&amp;Supuestos!$D$6,Pagos!$H$6:$H$305,"OK"),"")</f>
        <v/>
      </c>
      <c r="O413" s="48" t="str">
        <f>IF(AND(Creditos!$C$12&lt;&gt;"",Creditos!$M$12="OK",48&lt;=Creditos!$H$12),MIN(J413,MAX(0,N413-K413-H413)),"")</f>
        <v/>
      </c>
      <c r="P413" s="48" t="str">
        <f>IF(AND(Creditos!$C$12&lt;&gt;"",Creditos!$M$12="OK",48&lt;=Creditos!$H$12),MAX(0,L413-N413),"")</f>
        <v/>
      </c>
      <c r="Q413" s="50" t="str">
        <f>IF(AND(Creditos!$C$12&lt;&gt;"",Creditos!$M$12="OK",48&lt;=Creditos!$H$12),IF(AND(E413&lt;Supuestos!$D$6,P413&gt;0.005),Supuestos!$D$6-E413,0),"")</f>
        <v/>
      </c>
      <c r="R413" s="48" t="str">
        <f>IF(AND(Creditos!$C$12&lt;&gt;"",Creditos!$M$12="OK",48&lt;=Creditos!$H$12),MAX(0,N413-L413),"")</f>
        <v/>
      </c>
      <c r="S413" s="46" t="str">
        <f>IF(AND(Creditos!$C$12&lt;&gt;"",Creditos!$M$12="OK",48&lt;=Creditos!$H$12),IF(R413&gt;0.005,"Exceso sin imputar",IF(P413&lt;=0.005,"Pagada",IF(E413&lt;Supuestos!$D$6,"Vencida",IF(E413=Supuestos!$D$6,"Vence hoy","Por vencer")))),"")</f>
        <v/>
      </c>
      <c r="T413" s="46">
        <f>IF(AND(Creditos!$C$12&lt;&gt;"",Creditos!$M$12="OK",48&lt;=Creditos!$H$12),IF(P413&gt;0.005,E413,999999),999999)</f>
        <v>999999</v>
      </c>
    </row>
    <row r="414" ht="25.5" customHeight="1">
      <c r="C414" s="46" t="str">
        <f>IF(AND(Creditos!$C$12&lt;&gt;"",Creditos!$M$12="OK",49&lt;=Creditos!$H$12),Creditos!$C$12,"")</f>
        <v/>
      </c>
      <c r="D414" s="46" t="str">
        <f>IF(AND(Creditos!$C$12&lt;&gt;"",Creditos!$M$12="OK",49&lt;=Creditos!$H$12),49,"")</f>
        <v/>
      </c>
      <c r="E414" s="47" t="str">
        <f>IF(AND(Creditos!$C$12&lt;&gt;"",Creditos!$M$12="OK",49&lt;=Creditos!$H$12),EDATE(Creditos!$I$12,48),"")</f>
        <v/>
      </c>
      <c r="F414" s="48" t="str">
        <f>IF(AND(Creditos!$C$12&lt;&gt;"",Creditos!$M$12="OK",49&lt;=Creditos!$H$12),M413,"")</f>
        <v/>
      </c>
      <c r="G414" s="49" t="str">
        <f>IF(AND(Creditos!$C$12&lt;&gt;"",Creditos!$M$12="OK",49&lt;=Creditos!$H$12),Creditos!$N$12,"")</f>
        <v/>
      </c>
      <c r="H414" s="48" t="str">
        <f>IF(AND(Creditos!$C$12&lt;&gt;"",Creditos!$M$12="OK",49&lt;=Creditos!$H$12),ROUND(F414*G414,2),"")</f>
        <v/>
      </c>
      <c r="I414" s="48" t="str">
        <f>IF(AND(Creditos!$C$12&lt;&gt;"",Creditos!$M$12="OK",49&lt;=Creditos!$H$12),IF(49=Creditos!$H$12,F414+H414,MIN(Creditos!$O$12,F414+H414)),"")</f>
        <v/>
      </c>
      <c r="J414" s="48" t="str">
        <f>IF(AND(Creditos!$C$12&lt;&gt;"",Creditos!$M$12="OK",49&lt;=Creditos!$H$12),MIN(F414,MAX(0,I414-H414)),"")</f>
        <v/>
      </c>
      <c r="K414" s="48" t="str">
        <f>IF(AND(Creditos!$C$12&lt;&gt;"",Creditos!$M$12="OK",49&lt;=Creditos!$H$12),Creditos!$J$12+Creditos!$K$12,"")</f>
        <v/>
      </c>
      <c r="L414" s="48" t="str">
        <f>IF(AND(Creditos!$C$12&lt;&gt;"",Creditos!$M$12="OK",49&lt;=Creditos!$H$12),I414+K414,"")</f>
        <v/>
      </c>
      <c r="M414" s="48" t="str">
        <f>IF(AND(Creditos!$C$12&lt;&gt;"",Creditos!$M$12="OK",49&lt;=Creditos!$H$12),MAX(0,F414-J414),"")</f>
        <v/>
      </c>
      <c r="N414" s="48" t="str">
        <f>IF(AND(Creditos!$C$12&lt;&gt;"",Creditos!$M$12="OK",49&lt;=Creditos!$H$12),SUMIFS(Pagos!$F$6:$F$305,Pagos!$C$6:$C$305,C414,Pagos!$D$6:$D$305,D414,Pagos!$E$6:$E$305,"&lt;="&amp;Supuestos!$D$6,Pagos!$H$6:$H$305,"OK"),"")</f>
        <v/>
      </c>
      <c r="O414" s="48" t="str">
        <f>IF(AND(Creditos!$C$12&lt;&gt;"",Creditos!$M$12="OK",49&lt;=Creditos!$H$12),MIN(J414,MAX(0,N414-K414-H414)),"")</f>
        <v/>
      </c>
      <c r="P414" s="48" t="str">
        <f>IF(AND(Creditos!$C$12&lt;&gt;"",Creditos!$M$12="OK",49&lt;=Creditos!$H$12),MAX(0,L414-N414),"")</f>
        <v/>
      </c>
      <c r="Q414" s="50" t="str">
        <f>IF(AND(Creditos!$C$12&lt;&gt;"",Creditos!$M$12="OK",49&lt;=Creditos!$H$12),IF(AND(E414&lt;Supuestos!$D$6,P414&gt;0.005),Supuestos!$D$6-E414,0),"")</f>
        <v/>
      </c>
      <c r="R414" s="48" t="str">
        <f>IF(AND(Creditos!$C$12&lt;&gt;"",Creditos!$M$12="OK",49&lt;=Creditos!$H$12),MAX(0,N414-L414),"")</f>
        <v/>
      </c>
      <c r="S414" s="46" t="str">
        <f>IF(AND(Creditos!$C$12&lt;&gt;"",Creditos!$M$12="OK",49&lt;=Creditos!$H$12),IF(R414&gt;0.005,"Exceso sin imputar",IF(P414&lt;=0.005,"Pagada",IF(E414&lt;Supuestos!$D$6,"Vencida",IF(E414=Supuestos!$D$6,"Vence hoy","Por vencer")))),"")</f>
        <v/>
      </c>
      <c r="T414" s="46">
        <f>IF(AND(Creditos!$C$12&lt;&gt;"",Creditos!$M$12="OK",49&lt;=Creditos!$H$12),IF(P414&gt;0.005,E414,999999),999999)</f>
        <v>999999</v>
      </c>
    </row>
    <row r="415" ht="25.5" customHeight="1">
      <c r="C415" s="46" t="str">
        <f>IF(AND(Creditos!$C$12&lt;&gt;"",Creditos!$M$12="OK",50&lt;=Creditos!$H$12),Creditos!$C$12,"")</f>
        <v/>
      </c>
      <c r="D415" s="46" t="str">
        <f>IF(AND(Creditos!$C$12&lt;&gt;"",Creditos!$M$12="OK",50&lt;=Creditos!$H$12),50,"")</f>
        <v/>
      </c>
      <c r="E415" s="47" t="str">
        <f>IF(AND(Creditos!$C$12&lt;&gt;"",Creditos!$M$12="OK",50&lt;=Creditos!$H$12),EDATE(Creditos!$I$12,49),"")</f>
        <v/>
      </c>
      <c r="F415" s="48" t="str">
        <f>IF(AND(Creditos!$C$12&lt;&gt;"",Creditos!$M$12="OK",50&lt;=Creditos!$H$12),M414,"")</f>
        <v/>
      </c>
      <c r="G415" s="49" t="str">
        <f>IF(AND(Creditos!$C$12&lt;&gt;"",Creditos!$M$12="OK",50&lt;=Creditos!$H$12),Creditos!$N$12,"")</f>
        <v/>
      </c>
      <c r="H415" s="48" t="str">
        <f>IF(AND(Creditos!$C$12&lt;&gt;"",Creditos!$M$12="OK",50&lt;=Creditos!$H$12),ROUND(F415*G415,2),"")</f>
        <v/>
      </c>
      <c r="I415" s="48" t="str">
        <f>IF(AND(Creditos!$C$12&lt;&gt;"",Creditos!$M$12="OK",50&lt;=Creditos!$H$12),IF(50=Creditos!$H$12,F415+H415,MIN(Creditos!$O$12,F415+H415)),"")</f>
        <v/>
      </c>
      <c r="J415" s="48" t="str">
        <f>IF(AND(Creditos!$C$12&lt;&gt;"",Creditos!$M$12="OK",50&lt;=Creditos!$H$12),MIN(F415,MAX(0,I415-H415)),"")</f>
        <v/>
      </c>
      <c r="K415" s="48" t="str">
        <f>IF(AND(Creditos!$C$12&lt;&gt;"",Creditos!$M$12="OK",50&lt;=Creditos!$H$12),Creditos!$J$12+Creditos!$K$12,"")</f>
        <v/>
      </c>
      <c r="L415" s="48" t="str">
        <f>IF(AND(Creditos!$C$12&lt;&gt;"",Creditos!$M$12="OK",50&lt;=Creditos!$H$12),I415+K415,"")</f>
        <v/>
      </c>
      <c r="M415" s="48" t="str">
        <f>IF(AND(Creditos!$C$12&lt;&gt;"",Creditos!$M$12="OK",50&lt;=Creditos!$H$12),MAX(0,F415-J415),"")</f>
        <v/>
      </c>
      <c r="N415" s="48" t="str">
        <f>IF(AND(Creditos!$C$12&lt;&gt;"",Creditos!$M$12="OK",50&lt;=Creditos!$H$12),SUMIFS(Pagos!$F$6:$F$305,Pagos!$C$6:$C$305,C415,Pagos!$D$6:$D$305,D415,Pagos!$E$6:$E$305,"&lt;="&amp;Supuestos!$D$6,Pagos!$H$6:$H$305,"OK"),"")</f>
        <v/>
      </c>
      <c r="O415" s="48" t="str">
        <f>IF(AND(Creditos!$C$12&lt;&gt;"",Creditos!$M$12="OK",50&lt;=Creditos!$H$12),MIN(J415,MAX(0,N415-K415-H415)),"")</f>
        <v/>
      </c>
      <c r="P415" s="48" t="str">
        <f>IF(AND(Creditos!$C$12&lt;&gt;"",Creditos!$M$12="OK",50&lt;=Creditos!$H$12),MAX(0,L415-N415),"")</f>
        <v/>
      </c>
      <c r="Q415" s="50" t="str">
        <f>IF(AND(Creditos!$C$12&lt;&gt;"",Creditos!$M$12="OK",50&lt;=Creditos!$H$12),IF(AND(E415&lt;Supuestos!$D$6,P415&gt;0.005),Supuestos!$D$6-E415,0),"")</f>
        <v/>
      </c>
      <c r="R415" s="48" t="str">
        <f>IF(AND(Creditos!$C$12&lt;&gt;"",Creditos!$M$12="OK",50&lt;=Creditos!$H$12),MAX(0,N415-L415),"")</f>
        <v/>
      </c>
      <c r="S415" s="46" t="str">
        <f>IF(AND(Creditos!$C$12&lt;&gt;"",Creditos!$M$12="OK",50&lt;=Creditos!$H$12),IF(R415&gt;0.005,"Exceso sin imputar",IF(P415&lt;=0.005,"Pagada",IF(E415&lt;Supuestos!$D$6,"Vencida",IF(E415=Supuestos!$D$6,"Vence hoy","Por vencer")))),"")</f>
        <v/>
      </c>
      <c r="T415" s="46">
        <f>IF(AND(Creditos!$C$12&lt;&gt;"",Creditos!$M$12="OK",50&lt;=Creditos!$H$12),IF(P415&gt;0.005,E415,999999),999999)</f>
        <v>999999</v>
      </c>
    </row>
    <row r="416" ht="25.5" customHeight="1">
      <c r="C416" s="46" t="str">
        <f>IF(AND(Creditos!$C$12&lt;&gt;"",Creditos!$M$12="OK",51&lt;=Creditos!$H$12),Creditos!$C$12,"")</f>
        <v/>
      </c>
      <c r="D416" s="46" t="str">
        <f>IF(AND(Creditos!$C$12&lt;&gt;"",Creditos!$M$12="OK",51&lt;=Creditos!$H$12),51,"")</f>
        <v/>
      </c>
      <c r="E416" s="47" t="str">
        <f>IF(AND(Creditos!$C$12&lt;&gt;"",Creditos!$M$12="OK",51&lt;=Creditos!$H$12),EDATE(Creditos!$I$12,50),"")</f>
        <v/>
      </c>
      <c r="F416" s="48" t="str">
        <f>IF(AND(Creditos!$C$12&lt;&gt;"",Creditos!$M$12="OK",51&lt;=Creditos!$H$12),M415,"")</f>
        <v/>
      </c>
      <c r="G416" s="49" t="str">
        <f>IF(AND(Creditos!$C$12&lt;&gt;"",Creditos!$M$12="OK",51&lt;=Creditos!$H$12),Creditos!$N$12,"")</f>
        <v/>
      </c>
      <c r="H416" s="48" t="str">
        <f>IF(AND(Creditos!$C$12&lt;&gt;"",Creditos!$M$12="OK",51&lt;=Creditos!$H$12),ROUND(F416*G416,2),"")</f>
        <v/>
      </c>
      <c r="I416" s="48" t="str">
        <f>IF(AND(Creditos!$C$12&lt;&gt;"",Creditos!$M$12="OK",51&lt;=Creditos!$H$12),IF(51=Creditos!$H$12,F416+H416,MIN(Creditos!$O$12,F416+H416)),"")</f>
        <v/>
      </c>
      <c r="J416" s="48" t="str">
        <f>IF(AND(Creditos!$C$12&lt;&gt;"",Creditos!$M$12="OK",51&lt;=Creditos!$H$12),MIN(F416,MAX(0,I416-H416)),"")</f>
        <v/>
      </c>
      <c r="K416" s="48" t="str">
        <f>IF(AND(Creditos!$C$12&lt;&gt;"",Creditos!$M$12="OK",51&lt;=Creditos!$H$12),Creditos!$J$12+Creditos!$K$12,"")</f>
        <v/>
      </c>
      <c r="L416" s="48" t="str">
        <f>IF(AND(Creditos!$C$12&lt;&gt;"",Creditos!$M$12="OK",51&lt;=Creditos!$H$12),I416+K416,"")</f>
        <v/>
      </c>
      <c r="M416" s="48" t="str">
        <f>IF(AND(Creditos!$C$12&lt;&gt;"",Creditos!$M$12="OK",51&lt;=Creditos!$H$12),MAX(0,F416-J416),"")</f>
        <v/>
      </c>
      <c r="N416" s="48" t="str">
        <f>IF(AND(Creditos!$C$12&lt;&gt;"",Creditos!$M$12="OK",51&lt;=Creditos!$H$12),SUMIFS(Pagos!$F$6:$F$305,Pagos!$C$6:$C$305,C416,Pagos!$D$6:$D$305,D416,Pagos!$E$6:$E$305,"&lt;="&amp;Supuestos!$D$6,Pagos!$H$6:$H$305,"OK"),"")</f>
        <v/>
      </c>
      <c r="O416" s="48" t="str">
        <f>IF(AND(Creditos!$C$12&lt;&gt;"",Creditos!$M$12="OK",51&lt;=Creditos!$H$12),MIN(J416,MAX(0,N416-K416-H416)),"")</f>
        <v/>
      </c>
      <c r="P416" s="48" t="str">
        <f>IF(AND(Creditos!$C$12&lt;&gt;"",Creditos!$M$12="OK",51&lt;=Creditos!$H$12),MAX(0,L416-N416),"")</f>
        <v/>
      </c>
      <c r="Q416" s="50" t="str">
        <f>IF(AND(Creditos!$C$12&lt;&gt;"",Creditos!$M$12="OK",51&lt;=Creditos!$H$12),IF(AND(E416&lt;Supuestos!$D$6,P416&gt;0.005),Supuestos!$D$6-E416,0),"")</f>
        <v/>
      </c>
      <c r="R416" s="48" t="str">
        <f>IF(AND(Creditos!$C$12&lt;&gt;"",Creditos!$M$12="OK",51&lt;=Creditos!$H$12),MAX(0,N416-L416),"")</f>
        <v/>
      </c>
      <c r="S416" s="46" t="str">
        <f>IF(AND(Creditos!$C$12&lt;&gt;"",Creditos!$M$12="OK",51&lt;=Creditos!$H$12),IF(R416&gt;0.005,"Exceso sin imputar",IF(P416&lt;=0.005,"Pagada",IF(E416&lt;Supuestos!$D$6,"Vencida",IF(E416=Supuestos!$D$6,"Vence hoy","Por vencer")))),"")</f>
        <v/>
      </c>
      <c r="T416" s="46">
        <f>IF(AND(Creditos!$C$12&lt;&gt;"",Creditos!$M$12="OK",51&lt;=Creditos!$H$12),IF(P416&gt;0.005,E416,999999),999999)</f>
        <v>999999</v>
      </c>
    </row>
    <row r="417" ht="25.5" customHeight="1">
      <c r="C417" s="46" t="str">
        <f>IF(AND(Creditos!$C$12&lt;&gt;"",Creditos!$M$12="OK",52&lt;=Creditos!$H$12),Creditos!$C$12,"")</f>
        <v/>
      </c>
      <c r="D417" s="46" t="str">
        <f>IF(AND(Creditos!$C$12&lt;&gt;"",Creditos!$M$12="OK",52&lt;=Creditos!$H$12),52,"")</f>
        <v/>
      </c>
      <c r="E417" s="47" t="str">
        <f>IF(AND(Creditos!$C$12&lt;&gt;"",Creditos!$M$12="OK",52&lt;=Creditos!$H$12),EDATE(Creditos!$I$12,51),"")</f>
        <v/>
      </c>
      <c r="F417" s="48" t="str">
        <f>IF(AND(Creditos!$C$12&lt;&gt;"",Creditos!$M$12="OK",52&lt;=Creditos!$H$12),M416,"")</f>
        <v/>
      </c>
      <c r="G417" s="49" t="str">
        <f>IF(AND(Creditos!$C$12&lt;&gt;"",Creditos!$M$12="OK",52&lt;=Creditos!$H$12),Creditos!$N$12,"")</f>
        <v/>
      </c>
      <c r="H417" s="48" t="str">
        <f>IF(AND(Creditos!$C$12&lt;&gt;"",Creditos!$M$12="OK",52&lt;=Creditos!$H$12),ROUND(F417*G417,2),"")</f>
        <v/>
      </c>
      <c r="I417" s="48" t="str">
        <f>IF(AND(Creditos!$C$12&lt;&gt;"",Creditos!$M$12="OK",52&lt;=Creditos!$H$12),IF(52=Creditos!$H$12,F417+H417,MIN(Creditos!$O$12,F417+H417)),"")</f>
        <v/>
      </c>
      <c r="J417" s="48" t="str">
        <f>IF(AND(Creditos!$C$12&lt;&gt;"",Creditos!$M$12="OK",52&lt;=Creditos!$H$12),MIN(F417,MAX(0,I417-H417)),"")</f>
        <v/>
      </c>
      <c r="K417" s="48" t="str">
        <f>IF(AND(Creditos!$C$12&lt;&gt;"",Creditos!$M$12="OK",52&lt;=Creditos!$H$12),Creditos!$J$12+Creditos!$K$12,"")</f>
        <v/>
      </c>
      <c r="L417" s="48" t="str">
        <f>IF(AND(Creditos!$C$12&lt;&gt;"",Creditos!$M$12="OK",52&lt;=Creditos!$H$12),I417+K417,"")</f>
        <v/>
      </c>
      <c r="M417" s="48" t="str">
        <f>IF(AND(Creditos!$C$12&lt;&gt;"",Creditos!$M$12="OK",52&lt;=Creditos!$H$12),MAX(0,F417-J417),"")</f>
        <v/>
      </c>
      <c r="N417" s="48" t="str">
        <f>IF(AND(Creditos!$C$12&lt;&gt;"",Creditos!$M$12="OK",52&lt;=Creditos!$H$12),SUMIFS(Pagos!$F$6:$F$305,Pagos!$C$6:$C$305,C417,Pagos!$D$6:$D$305,D417,Pagos!$E$6:$E$305,"&lt;="&amp;Supuestos!$D$6,Pagos!$H$6:$H$305,"OK"),"")</f>
        <v/>
      </c>
      <c r="O417" s="48" t="str">
        <f>IF(AND(Creditos!$C$12&lt;&gt;"",Creditos!$M$12="OK",52&lt;=Creditos!$H$12),MIN(J417,MAX(0,N417-K417-H417)),"")</f>
        <v/>
      </c>
      <c r="P417" s="48" t="str">
        <f>IF(AND(Creditos!$C$12&lt;&gt;"",Creditos!$M$12="OK",52&lt;=Creditos!$H$12),MAX(0,L417-N417),"")</f>
        <v/>
      </c>
      <c r="Q417" s="50" t="str">
        <f>IF(AND(Creditos!$C$12&lt;&gt;"",Creditos!$M$12="OK",52&lt;=Creditos!$H$12),IF(AND(E417&lt;Supuestos!$D$6,P417&gt;0.005),Supuestos!$D$6-E417,0),"")</f>
        <v/>
      </c>
      <c r="R417" s="48" t="str">
        <f>IF(AND(Creditos!$C$12&lt;&gt;"",Creditos!$M$12="OK",52&lt;=Creditos!$H$12),MAX(0,N417-L417),"")</f>
        <v/>
      </c>
      <c r="S417" s="46" t="str">
        <f>IF(AND(Creditos!$C$12&lt;&gt;"",Creditos!$M$12="OK",52&lt;=Creditos!$H$12),IF(R417&gt;0.005,"Exceso sin imputar",IF(P417&lt;=0.005,"Pagada",IF(E417&lt;Supuestos!$D$6,"Vencida",IF(E417=Supuestos!$D$6,"Vence hoy","Por vencer")))),"")</f>
        <v/>
      </c>
      <c r="T417" s="46">
        <f>IF(AND(Creditos!$C$12&lt;&gt;"",Creditos!$M$12="OK",52&lt;=Creditos!$H$12),IF(P417&gt;0.005,E417,999999),999999)</f>
        <v>999999</v>
      </c>
    </row>
    <row r="418" ht="25.5" customHeight="1">
      <c r="C418" s="46" t="str">
        <f>IF(AND(Creditos!$C$12&lt;&gt;"",Creditos!$M$12="OK",53&lt;=Creditos!$H$12),Creditos!$C$12,"")</f>
        <v/>
      </c>
      <c r="D418" s="46" t="str">
        <f>IF(AND(Creditos!$C$12&lt;&gt;"",Creditos!$M$12="OK",53&lt;=Creditos!$H$12),53,"")</f>
        <v/>
      </c>
      <c r="E418" s="47" t="str">
        <f>IF(AND(Creditos!$C$12&lt;&gt;"",Creditos!$M$12="OK",53&lt;=Creditos!$H$12),EDATE(Creditos!$I$12,52),"")</f>
        <v/>
      </c>
      <c r="F418" s="48" t="str">
        <f>IF(AND(Creditos!$C$12&lt;&gt;"",Creditos!$M$12="OK",53&lt;=Creditos!$H$12),M417,"")</f>
        <v/>
      </c>
      <c r="G418" s="49" t="str">
        <f>IF(AND(Creditos!$C$12&lt;&gt;"",Creditos!$M$12="OK",53&lt;=Creditos!$H$12),Creditos!$N$12,"")</f>
        <v/>
      </c>
      <c r="H418" s="48" t="str">
        <f>IF(AND(Creditos!$C$12&lt;&gt;"",Creditos!$M$12="OK",53&lt;=Creditos!$H$12),ROUND(F418*G418,2),"")</f>
        <v/>
      </c>
      <c r="I418" s="48" t="str">
        <f>IF(AND(Creditos!$C$12&lt;&gt;"",Creditos!$M$12="OK",53&lt;=Creditos!$H$12),IF(53=Creditos!$H$12,F418+H418,MIN(Creditos!$O$12,F418+H418)),"")</f>
        <v/>
      </c>
      <c r="J418" s="48" t="str">
        <f>IF(AND(Creditos!$C$12&lt;&gt;"",Creditos!$M$12="OK",53&lt;=Creditos!$H$12),MIN(F418,MAX(0,I418-H418)),"")</f>
        <v/>
      </c>
      <c r="K418" s="48" t="str">
        <f>IF(AND(Creditos!$C$12&lt;&gt;"",Creditos!$M$12="OK",53&lt;=Creditos!$H$12),Creditos!$J$12+Creditos!$K$12,"")</f>
        <v/>
      </c>
      <c r="L418" s="48" t="str">
        <f>IF(AND(Creditos!$C$12&lt;&gt;"",Creditos!$M$12="OK",53&lt;=Creditos!$H$12),I418+K418,"")</f>
        <v/>
      </c>
      <c r="M418" s="48" t="str">
        <f>IF(AND(Creditos!$C$12&lt;&gt;"",Creditos!$M$12="OK",53&lt;=Creditos!$H$12),MAX(0,F418-J418),"")</f>
        <v/>
      </c>
      <c r="N418" s="48" t="str">
        <f>IF(AND(Creditos!$C$12&lt;&gt;"",Creditos!$M$12="OK",53&lt;=Creditos!$H$12),SUMIFS(Pagos!$F$6:$F$305,Pagos!$C$6:$C$305,C418,Pagos!$D$6:$D$305,D418,Pagos!$E$6:$E$305,"&lt;="&amp;Supuestos!$D$6,Pagos!$H$6:$H$305,"OK"),"")</f>
        <v/>
      </c>
      <c r="O418" s="48" t="str">
        <f>IF(AND(Creditos!$C$12&lt;&gt;"",Creditos!$M$12="OK",53&lt;=Creditos!$H$12),MIN(J418,MAX(0,N418-K418-H418)),"")</f>
        <v/>
      </c>
      <c r="P418" s="48" t="str">
        <f>IF(AND(Creditos!$C$12&lt;&gt;"",Creditos!$M$12="OK",53&lt;=Creditos!$H$12),MAX(0,L418-N418),"")</f>
        <v/>
      </c>
      <c r="Q418" s="50" t="str">
        <f>IF(AND(Creditos!$C$12&lt;&gt;"",Creditos!$M$12="OK",53&lt;=Creditos!$H$12),IF(AND(E418&lt;Supuestos!$D$6,P418&gt;0.005),Supuestos!$D$6-E418,0),"")</f>
        <v/>
      </c>
      <c r="R418" s="48" t="str">
        <f>IF(AND(Creditos!$C$12&lt;&gt;"",Creditos!$M$12="OK",53&lt;=Creditos!$H$12),MAX(0,N418-L418),"")</f>
        <v/>
      </c>
      <c r="S418" s="46" t="str">
        <f>IF(AND(Creditos!$C$12&lt;&gt;"",Creditos!$M$12="OK",53&lt;=Creditos!$H$12),IF(R418&gt;0.005,"Exceso sin imputar",IF(P418&lt;=0.005,"Pagada",IF(E418&lt;Supuestos!$D$6,"Vencida",IF(E418=Supuestos!$D$6,"Vence hoy","Por vencer")))),"")</f>
        <v/>
      </c>
      <c r="T418" s="46">
        <f>IF(AND(Creditos!$C$12&lt;&gt;"",Creditos!$M$12="OK",53&lt;=Creditos!$H$12),IF(P418&gt;0.005,E418,999999),999999)</f>
        <v>999999</v>
      </c>
    </row>
    <row r="419" ht="25.5" customHeight="1">
      <c r="C419" s="46" t="str">
        <f>IF(AND(Creditos!$C$12&lt;&gt;"",Creditos!$M$12="OK",54&lt;=Creditos!$H$12),Creditos!$C$12,"")</f>
        <v/>
      </c>
      <c r="D419" s="46" t="str">
        <f>IF(AND(Creditos!$C$12&lt;&gt;"",Creditos!$M$12="OK",54&lt;=Creditos!$H$12),54,"")</f>
        <v/>
      </c>
      <c r="E419" s="47" t="str">
        <f>IF(AND(Creditos!$C$12&lt;&gt;"",Creditos!$M$12="OK",54&lt;=Creditos!$H$12),EDATE(Creditos!$I$12,53),"")</f>
        <v/>
      </c>
      <c r="F419" s="48" t="str">
        <f>IF(AND(Creditos!$C$12&lt;&gt;"",Creditos!$M$12="OK",54&lt;=Creditos!$H$12),M418,"")</f>
        <v/>
      </c>
      <c r="G419" s="49" t="str">
        <f>IF(AND(Creditos!$C$12&lt;&gt;"",Creditos!$M$12="OK",54&lt;=Creditos!$H$12),Creditos!$N$12,"")</f>
        <v/>
      </c>
      <c r="H419" s="48" t="str">
        <f>IF(AND(Creditos!$C$12&lt;&gt;"",Creditos!$M$12="OK",54&lt;=Creditos!$H$12),ROUND(F419*G419,2),"")</f>
        <v/>
      </c>
      <c r="I419" s="48" t="str">
        <f>IF(AND(Creditos!$C$12&lt;&gt;"",Creditos!$M$12="OK",54&lt;=Creditos!$H$12),IF(54=Creditos!$H$12,F419+H419,MIN(Creditos!$O$12,F419+H419)),"")</f>
        <v/>
      </c>
      <c r="J419" s="48" t="str">
        <f>IF(AND(Creditos!$C$12&lt;&gt;"",Creditos!$M$12="OK",54&lt;=Creditos!$H$12),MIN(F419,MAX(0,I419-H419)),"")</f>
        <v/>
      </c>
      <c r="K419" s="48" t="str">
        <f>IF(AND(Creditos!$C$12&lt;&gt;"",Creditos!$M$12="OK",54&lt;=Creditos!$H$12),Creditos!$J$12+Creditos!$K$12,"")</f>
        <v/>
      </c>
      <c r="L419" s="48" t="str">
        <f>IF(AND(Creditos!$C$12&lt;&gt;"",Creditos!$M$12="OK",54&lt;=Creditos!$H$12),I419+K419,"")</f>
        <v/>
      </c>
      <c r="M419" s="48" t="str">
        <f>IF(AND(Creditos!$C$12&lt;&gt;"",Creditos!$M$12="OK",54&lt;=Creditos!$H$12),MAX(0,F419-J419),"")</f>
        <v/>
      </c>
      <c r="N419" s="48" t="str">
        <f>IF(AND(Creditos!$C$12&lt;&gt;"",Creditos!$M$12="OK",54&lt;=Creditos!$H$12),SUMIFS(Pagos!$F$6:$F$305,Pagos!$C$6:$C$305,C419,Pagos!$D$6:$D$305,D419,Pagos!$E$6:$E$305,"&lt;="&amp;Supuestos!$D$6,Pagos!$H$6:$H$305,"OK"),"")</f>
        <v/>
      </c>
      <c r="O419" s="48" t="str">
        <f>IF(AND(Creditos!$C$12&lt;&gt;"",Creditos!$M$12="OK",54&lt;=Creditos!$H$12),MIN(J419,MAX(0,N419-K419-H419)),"")</f>
        <v/>
      </c>
      <c r="P419" s="48" t="str">
        <f>IF(AND(Creditos!$C$12&lt;&gt;"",Creditos!$M$12="OK",54&lt;=Creditos!$H$12),MAX(0,L419-N419),"")</f>
        <v/>
      </c>
      <c r="Q419" s="50" t="str">
        <f>IF(AND(Creditos!$C$12&lt;&gt;"",Creditos!$M$12="OK",54&lt;=Creditos!$H$12),IF(AND(E419&lt;Supuestos!$D$6,P419&gt;0.005),Supuestos!$D$6-E419,0),"")</f>
        <v/>
      </c>
      <c r="R419" s="48" t="str">
        <f>IF(AND(Creditos!$C$12&lt;&gt;"",Creditos!$M$12="OK",54&lt;=Creditos!$H$12),MAX(0,N419-L419),"")</f>
        <v/>
      </c>
      <c r="S419" s="46" t="str">
        <f>IF(AND(Creditos!$C$12&lt;&gt;"",Creditos!$M$12="OK",54&lt;=Creditos!$H$12),IF(R419&gt;0.005,"Exceso sin imputar",IF(P419&lt;=0.005,"Pagada",IF(E419&lt;Supuestos!$D$6,"Vencida",IF(E419=Supuestos!$D$6,"Vence hoy","Por vencer")))),"")</f>
        <v/>
      </c>
      <c r="T419" s="46">
        <f>IF(AND(Creditos!$C$12&lt;&gt;"",Creditos!$M$12="OK",54&lt;=Creditos!$H$12),IF(P419&gt;0.005,E419,999999),999999)</f>
        <v>999999</v>
      </c>
    </row>
    <row r="420" ht="25.5" customHeight="1">
      <c r="C420" s="46" t="str">
        <f>IF(AND(Creditos!$C$12&lt;&gt;"",Creditos!$M$12="OK",55&lt;=Creditos!$H$12),Creditos!$C$12,"")</f>
        <v/>
      </c>
      <c r="D420" s="46" t="str">
        <f>IF(AND(Creditos!$C$12&lt;&gt;"",Creditos!$M$12="OK",55&lt;=Creditos!$H$12),55,"")</f>
        <v/>
      </c>
      <c r="E420" s="47" t="str">
        <f>IF(AND(Creditos!$C$12&lt;&gt;"",Creditos!$M$12="OK",55&lt;=Creditos!$H$12),EDATE(Creditos!$I$12,54),"")</f>
        <v/>
      </c>
      <c r="F420" s="48" t="str">
        <f>IF(AND(Creditos!$C$12&lt;&gt;"",Creditos!$M$12="OK",55&lt;=Creditos!$H$12),M419,"")</f>
        <v/>
      </c>
      <c r="G420" s="49" t="str">
        <f>IF(AND(Creditos!$C$12&lt;&gt;"",Creditos!$M$12="OK",55&lt;=Creditos!$H$12),Creditos!$N$12,"")</f>
        <v/>
      </c>
      <c r="H420" s="48" t="str">
        <f>IF(AND(Creditos!$C$12&lt;&gt;"",Creditos!$M$12="OK",55&lt;=Creditos!$H$12),ROUND(F420*G420,2),"")</f>
        <v/>
      </c>
      <c r="I420" s="48" t="str">
        <f>IF(AND(Creditos!$C$12&lt;&gt;"",Creditos!$M$12="OK",55&lt;=Creditos!$H$12),IF(55=Creditos!$H$12,F420+H420,MIN(Creditos!$O$12,F420+H420)),"")</f>
        <v/>
      </c>
      <c r="J420" s="48" t="str">
        <f>IF(AND(Creditos!$C$12&lt;&gt;"",Creditos!$M$12="OK",55&lt;=Creditos!$H$12),MIN(F420,MAX(0,I420-H420)),"")</f>
        <v/>
      </c>
      <c r="K420" s="48" t="str">
        <f>IF(AND(Creditos!$C$12&lt;&gt;"",Creditos!$M$12="OK",55&lt;=Creditos!$H$12),Creditos!$J$12+Creditos!$K$12,"")</f>
        <v/>
      </c>
      <c r="L420" s="48" t="str">
        <f>IF(AND(Creditos!$C$12&lt;&gt;"",Creditos!$M$12="OK",55&lt;=Creditos!$H$12),I420+K420,"")</f>
        <v/>
      </c>
      <c r="M420" s="48" t="str">
        <f>IF(AND(Creditos!$C$12&lt;&gt;"",Creditos!$M$12="OK",55&lt;=Creditos!$H$12),MAX(0,F420-J420),"")</f>
        <v/>
      </c>
      <c r="N420" s="48" t="str">
        <f>IF(AND(Creditos!$C$12&lt;&gt;"",Creditos!$M$12="OK",55&lt;=Creditos!$H$12),SUMIFS(Pagos!$F$6:$F$305,Pagos!$C$6:$C$305,C420,Pagos!$D$6:$D$305,D420,Pagos!$E$6:$E$305,"&lt;="&amp;Supuestos!$D$6,Pagos!$H$6:$H$305,"OK"),"")</f>
        <v/>
      </c>
      <c r="O420" s="48" t="str">
        <f>IF(AND(Creditos!$C$12&lt;&gt;"",Creditos!$M$12="OK",55&lt;=Creditos!$H$12),MIN(J420,MAX(0,N420-K420-H420)),"")</f>
        <v/>
      </c>
      <c r="P420" s="48" t="str">
        <f>IF(AND(Creditos!$C$12&lt;&gt;"",Creditos!$M$12="OK",55&lt;=Creditos!$H$12),MAX(0,L420-N420),"")</f>
        <v/>
      </c>
      <c r="Q420" s="50" t="str">
        <f>IF(AND(Creditos!$C$12&lt;&gt;"",Creditos!$M$12="OK",55&lt;=Creditos!$H$12),IF(AND(E420&lt;Supuestos!$D$6,P420&gt;0.005),Supuestos!$D$6-E420,0),"")</f>
        <v/>
      </c>
      <c r="R420" s="48" t="str">
        <f>IF(AND(Creditos!$C$12&lt;&gt;"",Creditos!$M$12="OK",55&lt;=Creditos!$H$12),MAX(0,N420-L420),"")</f>
        <v/>
      </c>
      <c r="S420" s="46" t="str">
        <f>IF(AND(Creditos!$C$12&lt;&gt;"",Creditos!$M$12="OK",55&lt;=Creditos!$H$12),IF(R420&gt;0.005,"Exceso sin imputar",IF(P420&lt;=0.005,"Pagada",IF(E420&lt;Supuestos!$D$6,"Vencida",IF(E420=Supuestos!$D$6,"Vence hoy","Por vencer")))),"")</f>
        <v/>
      </c>
      <c r="T420" s="46">
        <f>IF(AND(Creditos!$C$12&lt;&gt;"",Creditos!$M$12="OK",55&lt;=Creditos!$H$12),IF(P420&gt;0.005,E420,999999),999999)</f>
        <v>999999</v>
      </c>
    </row>
    <row r="421" ht="25.5" customHeight="1">
      <c r="C421" s="46" t="str">
        <f>IF(AND(Creditos!$C$12&lt;&gt;"",Creditos!$M$12="OK",56&lt;=Creditos!$H$12),Creditos!$C$12,"")</f>
        <v/>
      </c>
      <c r="D421" s="46" t="str">
        <f>IF(AND(Creditos!$C$12&lt;&gt;"",Creditos!$M$12="OK",56&lt;=Creditos!$H$12),56,"")</f>
        <v/>
      </c>
      <c r="E421" s="47" t="str">
        <f>IF(AND(Creditos!$C$12&lt;&gt;"",Creditos!$M$12="OK",56&lt;=Creditos!$H$12),EDATE(Creditos!$I$12,55),"")</f>
        <v/>
      </c>
      <c r="F421" s="48" t="str">
        <f>IF(AND(Creditos!$C$12&lt;&gt;"",Creditos!$M$12="OK",56&lt;=Creditos!$H$12),M420,"")</f>
        <v/>
      </c>
      <c r="G421" s="49" t="str">
        <f>IF(AND(Creditos!$C$12&lt;&gt;"",Creditos!$M$12="OK",56&lt;=Creditos!$H$12),Creditos!$N$12,"")</f>
        <v/>
      </c>
      <c r="H421" s="48" t="str">
        <f>IF(AND(Creditos!$C$12&lt;&gt;"",Creditos!$M$12="OK",56&lt;=Creditos!$H$12),ROUND(F421*G421,2),"")</f>
        <v/>
      </c>
      <c r="I421" s="48" t="str">
        <f>IF(AND(Creditos!$C$12&lt;&gt;"",Creditos!$M$12="OK",56&lt;=Creditos!$H$12),IF(56=Creditos!$H$12,F421+H421,MIN(Creditos!$O$12,F421+H421)),"")</f>
        <v/>
      </c>
      <c r="J421" s="48" t="str">
        <f>IF(AND(Creditos!$C$12&lt;&gt;"",Creditos!$M$12="OK",56&lt;=Creditos!$H$12),MIN(F421,MAX(0,I421-H421)),"")</f>
        <v/>
      </c>
      <c r="K421" s="48" t="str">
        <f>IF(AND(Creditos!$C$12&lt;&gt;"",Creditos!$M$12="OK",56&lt;=Creditos!$H$12),Creditos!$J$12+Creditos!$K$12,"")</f>
        <v/>
      </c>
      <c r="L421" s="48" t="str">
        <f>IF(AND(Creditos!$C$12&lt;&gt;"",Creditos!$M$12="OK",56&lt;=Creditos!$H$12),I421+K421,"")</f>
        <v/>
      </c>
      <c r="M421" s="48" t="str">
        <f>IF(AND(Creditos!$C$12&lt;&gt;"",Creditos!$M$12="OK",56&lt;=Creditos!$H$12),MAX(0,F421-J421),"")</f>
        <v/>
      </c>
      <c r="N421" s="48" t="str">
        <f>IF(AND(Creditos!$C$12&lt;&gt;"",Creditos!$M$12="OK",56&lt;=Creditos!$H$12),SUMIFS(Pagos!$F$6:$F$305,Pagos!$C$6:$C$305,C421,Pagos!$D$6:$D$305,D421,Pagos!$E$6:$E$305,"&lt;="&amp;Supuestos!$D$6,Pagos!$H$6:$H$305,"OK"),"")</f>
        <v/>
      </c>
      <c r="O421" s="48" t="str">
        <f>IF(AND(Creditos!$C$12&lt;&gt;"",Creditos!$M$12="OK",56&lt;=Creditos!$H$12),MIN(J421,MAX(0,N421-K421-H421)),"")</f>
        <v/>
      </c>
      <c r="P421" s="48" t="str">
        <f>IF(AND(Creditos!$C$12&lt;&gt;"",Creditos!$M$12="OK",56&lt;=Creditos!$H$12),MAX(0,L421-N421),"")</f>
        <v/>
      </c>
      <c r="Q421" s="50" t="str">
        <f>IF(AND(Creditos!$C$12&lt;&gt;"",Creditos!$M$12="OK",56&lt;=Creditos!$H$12),IF(AND(E421&lt;Supuestos!$D$6,P421&gt;0.005),Supuestos!$D$6-E421,0),"")</f>
        <v/>
      </c>
      <c r="R421" s="48" t="str">
        <f>IF(AND(Creditos!$C$12&lt;&gt;"",Creditos!$M$12="OK",56&lt;=Creditos!$H$12),MAX(0,N421-L421),"")</f>
        <v/>
      </c>
      <c r="S421" s="46" t="str">
        <f>IF(AND(Creditos!$C$12&lt;&gt;"",Creditos!$M$12="OK",56&lt;=Creditos!$H$12),IF(R421&gt;0.005,"Exceso sin imputar",IF(P421&lt;=0.005,"Pagada",IF(E421&lt;Supuestos!$D$6,"Vencida",IF(E421=Supuestos!$D$6,"Vence hoy","Por vencer")))),"")</f>
        <v/>
      </c>
      <c r="T421" s="46">
        <f>IF(AND(Creditos!$C$12&lt;&gt;"",Creditos!$M$12="OK",56&lt;=Creditos!$H$12),IF(P421&gt;0.005,E421,999999),999999)</f>
        <v>999999</v>
      </c>
    </row>
    <row r="422" ht="25.5" customHeight="1">
      <c r="C422" s="46" t="str">
        <f>IF(AND(Creditos!$C$12&lt;&gt;"",Creditos!$M$12="OK",57&lt;=Creditos!$H$12),Creditos!$C$12,"")</f>
        <v/>
      </c>
      <c r="D422" s="46" t="str">
        <f>IF(AND(Creditos!$C$12&lt;&gt;"",Creditos!$M$12="OK",57&lt;=Creditos!$H$12),57,"")</f>
        <v/>
      </c>
      <c r="E422" s="47" t="str">
        <f>IF(AND(Creditos!$C$12&lt;&gt;"",Creditos!$M$12="OK",57&lt;=Creditos!$H$12),EDATE(Creditos!$I$12,56),"")</f>
        <v/>
      </c>
      <c r="F422" s="48" t="str">
        <f>IF(AND(Creditos!$C$12&lt;&gt;"",Creditos!$M$12="OK",57&lt;=Creditos!$H$12),M421,"")</f>
        <v/>
      </c>
      <c r="G422" s="49" t="str">
        <f>IF(AND(Creditos!$C$12&lt;&gt;"",Creditos!$M$12="OK",57&lt;=Creditos!$H$12),Creditos!$N$12,"")</f>
        <v/>
      </c>
      <c r="H422" s="48" t="str">
        <f>IF(AND(Creditos!$C$12&lt;&gt;"",Creditos!$M$12="OK",57&lt;=Creditos!$H$12),ROUND(F422*G422,2),"")</f>
        <v/>
      </c>
      <c r="I422" s="48" t="str">
        <f>IF(AND(Creditos!$C$12&lt;&gt;"",Creditos!$M$12="OK",57&lt;=Creditos!$H$12),IF(57=Creditos!$H$12,F422+H422,MIN(Creditos!$O$12,F422+H422)),"")</f>
        <v/>
      </c>
      <c r="J422" s="48" t="str">
        <f>IF(AND(Creditos!$C$12&lt;&gt;"",Creditos!$M$12="OK",57&lt;=Creditos!$H$12),MIN(F422,MAX(0,I422-H422)),"")</f>
        <v/>
      </c>
      <c r="K422" s="48" t="str">
        <f>IF(AND(Creditos!$C$12&lt;&gt;"",Creditos!$M$12="OK",57&lt;=Creditos!$H$12),Creditos!$J$12+Creditos!$K$12,"")</f>
        <v/>
      </c>
      <c r="L422" s="48" t="str">
        <f>IF(AND(Creditos!$C$12&lt;&gt;"",Creditos!$M$12="OK",57&lt;=Creditos!$H$12),I422+K422,"")</f>
        <v/>
      </c>
      <c r="M422" s="48" t="str">
        <f>IF(AND(Creditos!$C$12&lt;&gt;"",Creditos!$M$12="OK",57&lt;=Creditos!$H$12),MAX(0,F422-J422),"")</f>
        <v/>
      </c>
      <c r="N422" s="48" t="str">
        <f>IF(AND(Creditos!$C$12&lt;&gt;"",Creditos!$M$12="OK",57&lt;=Creditos!$H$12),SUMIFS(Pagos!$F$6:$F$305,Pagos!$C$6:$C$305,C422,Pagos!$D$6:$D$305,D422,Pagos!$E$6:$E$305,"&lt;="&amp;Supuestos!$D$6,Pagos!$H$6:$H$305,"OK"),"")</f>
        <v/>
      </c>
      <c r="O422" s="48" t="str">
        <f>IF(AND(Creditos!$C$12&lt;&gt;"",Creditos!$M$12="OK",57&lt;=Creditos!$H$12),MIN(J422,MAX(0,N422-K422-H422)),"")</f>
        <v/>
      </c>
      <c r="P422" s="48" t="str">
        <f>IF(AND(Creditos!$C$12&lt;&gt;"",Creditos!$M$12="OK",57&lt;=Creditos!$H$12),MAX(0,L422-N422),"")</f>
        <v/>
      </c>
      <c r="Q422" s="50" t="str">
        <f>IF(AND(Creditos!$C$12&lt;&gt;"",Creditos!$M$12="OK",57&lt;=Creditos!$H$12),IF(AND(E422&lt;Supuestos!$D$6,P422&gt;0.005),Supuestos!$D$6-E422,0),"")</f>
        <v/>
      </c>
      <c r="R422" s="48" t="str">
        <f>IF(AND(Creditos!$C$12&lt;&gt;"",Creditos!$M$12="OK",57&lt;=Creditos!$H$12),MAX(0,N422-L422),"")</f>
        <v/>
      </c>
      <c r="S422" s="46" t="str">
        <f>IF(AND(Creditos!$C$12&lt;&gt;"",Creditos!$M$12="OK",57&lt;=Creditos!$H$12),IF(R422&gt;0.005,"Exceso sin imputar",IF(P422&lt;=0.005,"Pagada",IF(E422&lt;Supuestos!$D$6,"Vencida",IF(E422=Supuestos!$D$6,"Vence hoy","Por vencer")))),"")</f>
        <v/>
      </c>
      <c r="T422" s="46">
        <f>IF(AND(Creditos!$C$12&lt;&gt;"",Creditos!$M$12="OK",57&lt;=Creditos!$H$12),IF(P422&gt;0.005,E422,999999),999999)</f>
        <v>999999</v>
      </c>
    </row>
    <row r="423" ht="25.5" customHeight="1">
      <c r="C423" s="46" t="str">
        <f>IF(AND(Creditos!$C$12&lt;&gt;"",Creditos!$M$12="OK",58&lt;=Creditos!$H$12),Creditos!$C$12,"")</f>
        <v/>
      </c>
      <c r="D423" s="46" t="str">
        <f>IF(AND(Creditos!$C$12&lt;&gt;"",Creditos!$M$12="OK",58&lt;=Creditos!$H$12),58,"")</f>
        <v/>
      </c>
      <c r="E423" s="47" t="str">
        <f>IF(AND(Creditos!$C$12&lt;&gt;"",Creditos!$M$12="OK",58&lt;=Creditos!$H$12),EDATE(Creditos!$I$12,57),"")</f>
        <v/>
      </c>
      <c r="F423" s="48" t="str">
        <f>IF(AND(Creditos!$C$12&lt;&gt;"",Creditos!$M$12="OK",58&lt;=Creditos!$H$12),M422,"")</f>
        <v/>
      </c>
      <c r="G423" s="49" t="str">
        <f>IF(AND(Creditos!$C$12&lt;&gt;"",Creditos!$M$12="OK",58&lt;=Creditos!$H$12),Creditos!$N$12,"")</f>
        <v/>
      </c>
      <c r="H423" s="48" t="str">
        <f>IF(AND(Creditos!$C$12&lt;&gt;"",Creditos!$M$12="OK",58&lt;=Creditos!$H$12),ROUND(F423*G423,2),"")</f>
        <v/>
      </c>
      <c r="I423" s="48" t="str">
        <f>IF(AND(Creditos!$C$12&lt;&gt;"",Creditos!$M$12="OK",58&lt;=Creditos!$H$12),IF(58=Creditos!$H$12,F423+H423,MIN(Creditos!$O$12,F423+H423)),"")</f>
        <v/>
      </c>
      <c r="J423" s="48" t="str">
        <f>IF(AND(Creditos!$C$12&lt;&gt;"",Creditos!$M$12="OK",58&lt;=Creditos!$H$12),MIN(F423,MAX(0,I423-H423)),"")</f>
        <v/>
      </c>
      <c r="K423" s="48" t="str">
        <f>IF(AND(Creditos!$C$12&lt;&gt;"",Creditos!$M$12="OK",58&lt;=Creditos!$H$12),Creditos!$J$12+Creditos!$K$12,"")</f>
        <v/>
      </c>
      <c r="L423" s="48" t="str">
        <f>IF(AND(Creditos!$C$12&lt;&gt;"",Creditos!$M$12="OK",58&lt;=Creditos!$H$12),I423+K423,"")</f>
        <v/>
      </c>
      <c r="M423" s="48" t="str">
        <f>IF(AND(Creditos!$C$12&lt;&gt;"",Creditos!$M$12="OK",58&lt;=Creditos!$H$12),MAX(0,F423-J423),"")</f>
        <v/>
      </c>
      <c r="N423" s="48" t="str">
        <f>IF(AND(Creditos!$C$12&lt;&gt;"",Creditos!$M$12="OK",58&lt;=Creditos!$H$12),SUMIFS(Pagos!$F$6:$F$305,Pagos!$C$6:$C$305,C423,Pagos!$D$6:$D$305,D423,Pagos!$E$6:$E$305,"&lt;="&amp;Supuestos!$D$6,Pagos!$H$6:$H$305,"OK"),"")</f>
        <v/>
      </c>
      <c r="O423" s="48" t="str">
        <f>IF(AND(Creditos!$C$12&lt;&gt;"",Creditos!$M$12="OK",58&lt;=Creditos!$H$12),MIN(J423,MAX(0,N423-K423-H423)),"")</f>
        <v/>
      </c>
      <c r="P423" s="48" t="str">
        <f>IF(AND(Creditos!$C$12&lt;&gt;"",Creditos!$M$12="OK",58&lt;=Creditos!$H$12),MAX(0,L423-N423),"")</f>
        <v/>
      </c>
      <c r="Q423" s="50" t="str">
        <f>IF(AND(Creditos!$C$12&lt;&gt;"",Creditos!$M$12="OK",58&lt;=Creditos!$H$12),IF(AND(E423&lt;Supuestos!$D$6,P423&gt;0.005),Supuestos!$D$6-E423,0),"")</f>
        <v/>
      </c>
      <c r="R423" s="48" t="str">
        <f>IF(AND(Creditos!$C$12&lt;&gt;"",Creditos!$M$12="OK",58&lt;=Creditos!$H$12),MAX(0,N423-L423),"")</f>
        <v/>
      </c>
      <c r="S423" s="46" t="str">
        <f>IF(AND(Creditos!$C$12&lt;&gt;"",Creditos!$M$12="OK",58&lt;=Creditos!$H$12),IF(R423&gt;0.005,"Exceso sin imputar",IF(P423&lt;=0.005,"Pagada",IF(E423&lt;Supuestos!$D$6,"Vencida",IF(E423=Supuestos!$D$6,"Vence hoy","Por vencer")))),"")</f>
        <v/>
      </c>
      <c r="T423" s="46">
        <f>IF(AND(Creditos!$C$12&lt;&gt;"",Creditos!$M$12="OK",58&lt;=Creditos!$H$12),IF(P423&gt;0.005,E423,999999),999999)</f>
        <v>999999</v>
      </c>
    </row>
    <row r="424" ht="25.5" customHeight="1">
      <c r="C424" s="46" t="str">
        <f>IF(AND(Creditos!$C$12&lt;&gt;"",Creditos!$M$12="OK",59&lt;=Creditos!$H$12),Creditos!$C$12,"")</f>
        <v/>
      </c>
      <c r="D424" s="46" t="str">
        <f>IF(AND(Creditos!$C$12&lt;&gt;"",Creditos!$M$12="OK",59&lt;=Creditos!$H$12),59,"")</f>
        <v/>
      </c>
      <c r="E424" s="47" t="str">
        <f>IF(AND(Creditos!$C$12&lt;&gt;"",Creditos!$M$12="OK",59&lt;=Creditos!$H$12),EDATE(Creditos!$I$12,58),"")</f>
        <v/>
      </c>
      <c r="F424" s="48" t="str">
        <f>IF(AND(Creditos!$C$12&lt;&gt;"",Creditos!$M$12="OK",59&lt;=Creditos!$H$12),M423,"")</f>
        <v/>
      </c>
      <c r="G424" s="49" t="str">
        <f>IF(AND(Creditos!$C$12&lt;&gt;"",Creditos!$M$12="OK",59&lt;=Creditos!$H$12),Creditos!$N$12,"")</f>
        <v/>
      </c>
      <c r="H424" s="48" t="str">
        <f>IF(AND(Creditos!$C$12&lt;&gt;"",Creditos!$M$12="OK",59&lt;=Creditos!$H$12),ROUND(F424*G424,2),"")</f>
        <v/>
      </c>
      <c r="I424" s="48" t="str">
        <f>IF(AND(Creditos!$C$12&lt;&gt;"",Creditos!$M$12="OK",59&lt;=Creditos!$H$12),IF(59=Creditos!$H$12,F424+H424,MIN(Creditos!$O$12,F424+H424)),"")</f>
        <v/>
      </c>
      <c r="J424" s="48" t="str">
        <f>IF(AND(Creditos!$C$12&lt;&gt;"",Creditos!$M$12="OK",59&lt;=Creditos!$H$12),MIN(F424,MAX(0,I424-H424)),"")</f>
        <v/>
      </c>
      <c r="K424" s="48" t="str">
        <f>IF(AND(Creditos!$C$12&lt;&gt;"",Creditos!$M$12="OK",59&lt;=Creditos!$H$12),Creditos!$J$12+Creditos!$K$12,"")</f>
        <v/>
      </c>
      <c r="L424" s="48" t="str">
        <f>IF(AND(Creditos!$C$12&lt;&gt;"",Creditos!$M$12="OK",59&lt;=Creditos!$H$12),I424+K424,"")</f>
        <v/>
      </c>
      <c r="M424" s="48" t="str">
        <f>IF(AND(Creditos!$C$12&lt;&gt;"",Creditos!$M$12="OK",59&lt;=Creditos!$H$12),MAX(0,F424-J424),"")</f>
        <v/>
      </c>
      <c r="N424" s="48" t="str">
        <f>IF(AND(Creditos!$C$12&lt;&gt;"",Creditos!$M$12="OK",59&lt;=Creditos!$H$12),SUMIFS(Pagos!$F$6:$F$305,Pagos!$C$6:$C$305,C424,Pagos!$D$6:$D$305,D424,Pagos!$E$6:$E$305,"&lt;="&amp;Supuestos!$D$6,Pagos!$H$6:$H$305,"OK"),"")</f>
        <v/>
      </c>
      <c r="O424" s="48" t="str">
        <f>IF(AND(Creditos!$C$12&lt;&gt;"",Creditos!$M$12="OK",59&lt;=Creditos!$H$12),MIN(J424,MAX(0,N424-K424-H424)),"")</f>
        <v/>
      </c>
      <c r="P424" s="48" t="str">
        <f>IF(AND(Creditos!$C$12&lt;&gt;"",Creditos!$M$12="OK",59&lt;=Creditos!$H$12),MAX(0,L424-N424),"")</f>
        <v/>
      </c>
      <c r="Q424" s="50" t="str">
        <f>IF(AND(Creditos!$C$12&lt;&gt;"",Creditos!$M$12="OK",59&lt;=Creditos!$H$12),IF(AND(E424&lt;Supuestos!$D$6,P424&gt;0.005),Supuestos!$D$6-E424,0),"")</f>
        <v/>
      </c>
      <c r="R424" s="48" t="str">
        <f>IF(AND(Creditos!$C$12&lt;&gt;"",Creditos!$M$12="OK",59&lt;=Creditos!$H$12),MAX(0,N424-L424),"")</f>
        <v/>
      </c>
      <c r="S424" s="46" t="str">
        <f>IF(AND(Creditos!$C$12&lt;&gt;"",Creditos!$M$12="OK",59&lt;=Creditos!$H$12),IF(R424&gt;0.005,"Exceso sin imputar",IF(P424&lt;=0.005,"Pagada",IF(E424&lt;Supuestos!$D$6,"Vencida",IF(E424=Supuestos!$D$6,"Vence hoy","Por vencer")))),"")</f>
        <v/>
      </c>
      <c r="T424" s="46">
        <f>IF(AND(Creditos!$C$12&lt;&gt;"",Creditos!$M$12="OK",59&lt;=Creditos!$H$12),IF(P424&gt;0.005,E424,999999),999999)</f>
        <v>999999</v>
      </c>
    </row>
    <row r="425" ht="25.5" customHeight="1">
      <c r="C425" s="46" t="str">
        <f>IF(AND(Creditos!$C$12&lt;&gt;"",Creditos!$M$12="OK",60&lt;=Creditos!$H$12),Creditos!$C$12,"")</f>
        <v/>
      </c>
      <c r="D425" s="46" t="str">
        <f>IF(AND(Creditos!$C$12&lt;&gt;"",Creditos!$M$12="OK",60&lt;=Creditos!$H$12),60,"")</f>
        <v/>
      </c>
      <c r="E425" s="47" t="str">
        <f>IF(AND(Creditos!$C$12&lt;&gt;"",Creditos!$M$12="OK",60&lt;=Creditos!$H$12),EDATE(Creditos!$I$12,59),"")</f>
        <v/>
      </c>
      <c r="F425" s="48" t="str">
        <f>IF(AND(Creditos!$C$12&lt;&gt;"",Creditos!$M$12="OK",60&lt;=Creditos!$H$12),M424,"")</f>
        <v/>
      </c>
      <c r="G425" s="49" t="str">
        <f>IF(AND(Creditos!$C$12&lt;&gt;"",Creditos!$M$12="OK",60&lt;=Creditos!$H$12),Creditos!$N$12,"")</f>
        <v/>
      </c>
      <c r="H425" s="48" t="str">
        <f>IF(AND(Creditos!$C$12&lt;&gt;"",Creditos!$M$12="OK",60&lt;=Creditos!$H$12),ROUND(F425*G425,2),"")</f>
        <v/>
      </c>
      <c r="I425" s="48" t="str">
        <f>IF(AND(Creditos!$C$12&lt;&gt;"",Creditos!$M$12="OK",60&lt;=Creditos!$H$12),IF(60=Creditos!$H$12,F425+H425,MIN(Creditos!$O$12,F425+H425)),"")</f>
        <v/>
      </c>
      <c r="J425" s="48" t="str">
        <f>IF(AND(Creditos!$C$12&lt;&gt;"",Creditos!$M$12="OK",60&lt;=Creditos!$H$12),MIN(F425,MAX(0,I425-H425)),"")</f>
        <v/>
      </c>
      <c r="K425" s="48" t="str">
        <f>IF(AND(Creditos!$C$12&lt;&gt;"",Creditos!$M$12="OK",60&lt;=Creditos!$H$12),Creditos!$J$12+Creditos!$K$12,"")</f>
        <v/>
      </c>
      <c r="L425" s="48" t="str">
        <f>IF(AND(Creditos!$C$12&lt;&gt;"",Creditos!$M$12="OK",60&lt;=Creditos!$H$12),I425+K425,"")</f>
        <v/>
      </c>
      <c r="M425" s="48" t="str">
        <f>IF(AND(Creditos!$C$12&lt;&gt;"",Creditos!$M$12="OK",60&lt;=Creditos!$H$12),MAX(0,F425-J425),"")</f>
        <v/>
      </c>
      <c r="N425" s="48" t="str">
        <f>IF(AND(Creditos!$C$12&lt;&gt;"",Creditos!$M$12="OK",60&lt;=Creditos!$H$12),SUMIFS(Pagos!$F$6:$F$305,Pagos!$C$6:$C$305,C425,Pagos!$D$6:$D$305,D425,Pagos!$E$6:$E$305,"&lt;="&amp;Supuestos!$D$6,Pagos!$H$6:$H$305,"OK"),"")</f>
        <v/>
      </c>
      <c r="O425" s="48" t="str">
        <f>IF(AND(Creditos!$C$12&lt;&gt;"",Creditos!$M$12="OK",60&lt;=Creditos!$H$12),MIN(J425,MAX(0,N425-K425-H425)),"")</f>
        <v/>
      </c>
      <c r="P425" s="48" t="str">
        <f>IF(AND(Creditos!$C$12&lt;&gt;"",Creditos!$M$12="OK",60&lt;=Creditos!$H$12),MAX(0,L425-N425),"")</f>
        <v/>
      </c>
      <c r="Q425" s="50" t="str">
        <f>IF(AND(Creditos!$C$12&lt;&gt;"",Creditos!$M$12="OK",60&lt;=Creditos!$H$12),IF(AND(E425&lt;Supuestos!$D$6,P425&gt;0.005),Supuestos!$D$6-E425,0),"")</f>
        <v/>
      </c>
      <c r="R425" s="48" t="str">
        <f>IF(AND(Creditos!$C$12&lt;&gt;"",Creditos!$M$12="OK",60&lt;=Creditos!$H$12),MAX(0,N425-L425),"")</f>
        <v/>
      </c>
      <c r="S425" s="46" t="str">
        <f>IF(AND(Creditos!$C$12&lt;&gt;"",Creditos!$M$12="OK",60&lt;=Creditos!$H$12),IF(R425&gt;0.005,"Exceso sin imputar",IF(P425&lt;=0.005,"Pagada",IF(E425&lt;Supuestos!$D$6,"Vencida",IF(E425=Supuestos!$D$6,"Vence hoy","Por vencer")))),"")</f>
        <v/>
      </c>
      <c r="T425" s="46">
        <f>IF(AND(Creditos!$C$12&lt;&gt;"",Creditos!$M$12="OK",60&lt;=Creditos!$H$12),IF(P425&gt;0.005,E425,999999),999999)</f>
        <v>999999</v>
      </c>
    </row>
    <row r="426" ht="25.5" customHeight="1">
      <c r="C426" s="46" t="str">
        <f>IF(AND(Creditos!$C$13&lt;&gt;"",Creditos!$M$13="OK",1&lt;=Creditos!$H$13),Creditos!$C$13,"")</f>
        <v/>
      </c>
      <c r="D426" s="46" t="str">
        <f>IF(AND(Creditos!$C$13&lt;&gt;"",Creditos!$M$13="OK",1&lt;=Creditos!$H$13),1,"")</f>
        <v/>
      </c>
      <c r="E426" s="47" t="str">
        <f>IF(AND(Creditos!$C$13&lt;&gt;"",Creditos!$M$13="OK",1&lt;=Creditos!$H$13),EDATE(Creditos!$I$13,0),"")</f>
        <v/>
      </c>
      <c r="F426" s="48" t="str">
        <f>IF(AND(Creditos!$C$13&lt;&gt;"",Creditos!$M$13="OK",1&lt;=Creditos!$H$13),Creditos!$E$13,"")</f>
        <v/>
      </c>
      <c r="G426" s="49" t="str">
        <f>IF(AND(Creditos!$C$13&lt;&gt;"",Creditos!$M$13="OK",1&lt;=Creditos!$H$13),Creditos!$N$13,"")</f>
        <v/>
      </c>
      <c r="H426" s="48" t="str">
        <f>IF(AND(Creditos!$C$13&lt;&gt;"",Creditos!$M$13="OK",1&lt;=Creditos!$H$13),ROUND(F426*G426,2),"")</f>
        <v/>
      </c>
      <c r="I426" s="48" t="str">
        <f>IF(AND(Creditos!$C$13&lt;&gt;"",Creditos!$M$13="OK",1&lt;=Creditos!$H$13),IF(1=Creditos!$H$13,F426+H426,MIN(Creditos!$O$13,F426+H426)),"")</f>
        <v/>
      </c>
      <c r="J426" s="48" t="str">
        <f>IF(AND(Creditos!$C$13&lt;&gt;"",Creditos!$M$13="OK",1&lt;=Creditos!$H$13),MIN(F426,MAX(0,I426-H426)),"")</f>
        <v/>
      </c>
      <c r="K426" s="48" t="str">
        <f>IF(AND(Creditos!$C$13&lt;&gt;"",Creditos!$M$13="OK",1&lt;=Creditos!$H$13),Creditos!$J$13+Creditos!$K$13,"")</f>
        <v/>
      </c>
      <c r="L426" s="48" t="str">
        <f>IF(AND(Creditos!$C$13&lt;&gt;"",Creditos!$M$13="OK",1&lt;=Creditos!$H$13),I426+K426,"")</f>
        <v/>
      </c>
      <c r="M426" s="48" t="str">
        <f>IF(AND(Creditos!$C$13&lt;&gt;"",Creditos!$M$13="OK",1&lt;=Creditos!$H$13),MAX(0,F426-J426),"")</f>
        <v/>
      </c>
      <c r="N426" s="48" t="str">
        <f>IF(AND(Creditos!$C$13&lt;&gt;"",Creditos!$M$13="OK",1&lt;=Creditos!$H$13),SUMIFS(Pagos!$F$6:$F$305,Pagos!$C$6:$C$305,C426,Pagos!$D$6:$D$305,D426,Pagos!$E$6:$E$305,"&lt;="&amp;Supuestos!$D$6,Pagos!$H$6:$H$305,"OK"),"")</f>
        <v/>
      </c>
      <c r="O426" s="48" t="str">
        <f>IF(AND(Creditos!$C$13&lt;&gt;"",Creditos!$M$13="OK",1&lt;=Creditos!$H$13),MIN(J426,MAX(0,N426-K426-H426)),"")</f>
        <v/>
      </c>
      <c r="P426" s="48" t="str">
        <f>IF(AND(Creditos!$C$13&lt;&gt;"",Creditos!$M$13="OK",1&lt;=Creditos!$H$13),MAX(0,L426-N426),"")</f>
        <v/>
      </c>
      <c r="Q426" s="50" t="str">
        <f>IF(AND(Creditos!$C$13&lt;&gt;"",Creditos!$M$13="OK",1&lt;=Creditos!$H$13),IF(AND(E426&lt;Supuestos!$D$6,P426&gt;0.005),Supuestos!$D$6-E426,0),"")</f>
        <v/>
      </c>
      <c r="R426" s="48" t="str">
        <f>IF(AND(Creditos!$C$13&lt;&gt;"",Creditos!$M$13="OK",1&lt;=Creditos!$H$13),MAX(0,N426-L426),"")</f>
        <v/>
      </c>
      <c r="S426" s="46" t="str">
        <f>IF(AND(Creditos!$C$13&lt;&gt;"",Creditos!$M$13="OK",1&lt;=Creditos!$H$13),IF(R426&gt;0.005,"Exceso sin imputar",IF(P426&lt;=0.005,"Pagada",IF(E426&lt;Supuestos!$D$6,"Vencida",IF(E426=Supuestos!$D$6,"Vence hoy","Por vencer")))),"")</f>
        <v/>
      </c>
      <c r="T426" s="46">
        <f>IF(AND(Creditos!$C$13&lt;&gt;"",Creditos!$M$13="OK",1&lt;=Creditos!$H$13),IF(P426&gt;0.005,E426,999999),999999)</f>
        <v>999999</v>
      </c>
    </row>
    <row r="427" ht="25.5" customHeight="1">
      <c r="C427" s="46" t="str">
        <f>IF(AND(Creditos!$C$13&lt;&gt;"",Creditos!$M$13="OK",2&lt;=Creditos!$H$13),Creditos!$C$13,"")</f>
        <v/>
      </c>
      <c r="D427" s="46" t="str">
        <f>IF(AND(Creditos!$C$13&lt;&gt;"",Creditos!$M$13="OK",2&lt;=Creditos!$H$13),2,"")</f>
        <v/>
      </c>
      <c r="E427" s="47" t="str">
        <f>IF(AND(Creditos!$C$13&lt;&gt;"",Creditos!$M$13="OK",2&lt;=Creditos!$H$13),EDATE(Creditos!$I$13,1),"")</f>
        <v/>
      </c>
      <c r="F427" s="48" t="str">
        <f>IF(AND(Creditos!$C$13&lt;&gt;"",Creditos!$M$13="OK",2&lt;=Creditos!$H$13),M426,"")</f>
        <v/>
      </c>
      <c r="G427" s="49" t="str">
        <f>IF(AND(Creditos!$C$13&lt;&gt;"",Creditos!$M$13="OK",2&lt;=Creditos!$H$13),Creditos!$N$13,"")</f>
        <v/>
      </c>
      <c r="H427" s="48" t="str">
        <f>IF(AND(Creditos!$C$13&lt;&gt;"",Creditos!$M$13="OK",2&lt;=Creditos!$H$13),ROUND(F427*G427,2),"")</f>
        <v/>
      </c>
      <c r="I427" s="48" t="str">
        <f>IF(AND(Creditos!$C$13&lt;&gt;"",Creditos!$M$13="OK",2&lt;=Creditos!$H$13),IF(2=Creditos!$H$13,F427+H427,MIN(Creditos!$O$13,F427+H427)),"")</f>
        <v/>
      </c>
      <c r="J427" s="48" t="str">
        <f>IF(AND(Creditos!$C$13&lt;&gt;"",Creditos!$M$13="OK",2&lt;=Creditos!$H$13),MIN(F427,MAX(0,I427-H427)),"")</f>
        <v/>
      </c>
      <c r="K427" s="48" t="str">
        <f>IF(AND(Creditos!$C$13&lt;&gt;"",Creditos!$M$13="OK",2&lt;=Creditos!$H$13),Creditos!$J$13+Creditos!$K$13,"")</f>
        <v/>
      </c>
      <c r="L427" s="48" t="str">
        <f>IF(AND(Creditos!$C$13&lt;&gt;"",Creditos!$M$13="OK",2&lt;=Creditos!$H$13),I427+K427,"")</f>
        <v/>
      </c>
      <c r="M427" s="48" t="str">
        <f>IF(AND(Creditos!$C$13&lt;&gt;"",Creditos!$M$13="OK",2&lt;=Creditos!$H$13),MAX(0,F427-J427),"")</f>
        <v/>
      </c>
      <c r="N427" s="48" t="str">
        <f>IF(AND(Creditos!$C$13&lt;&gt;"",Creditos!$M$13="OK",2&lt;=Creditos!$H$13),SUMIFS(Pagos!$F$6:$F$305,Pagos!$C$6:$C$305,C427,Pagos!$D$6:$D$305,D427,Pagos!$E$6:$E$305,"&lt;="&amp;Supuestos!$D$6,Pagos!$H$6:$H$305,"OK"),"")</f>
        <v/>
      </c>
      <c r="O427" s="48" t="str">
        <f>IF(AND(Creditos!$C$13&lt;&gt;"",Creditos!$M$13="OK",2&lt;=Creditos!$H$13),MIN(J427,MAX(0,N427-K427-H427)),"")</f>
        <v/>
      </c>
      <c r="P427" s="48" t="str">
        <f>IF(AND(Creditos!$C$13&lt;&gt;"",Creditos!$M$13="OK",2&lt;=Creditos!$H$13),MAX(0,L427-N427),"")</f>
        <v/>
      </c>
      <c r="Q427" s="50" t="str">
        <f>IF(AND(Creditos!$C$13&lt;&gt;"",Creditos!$M$13="OK",2&lt;=Creditos!$H$13),IF(AND(E427&lt;Supuestos!$D$6,P427&gt;0.005),Supuestos!$D$6-E427,0),"")</f>
        <v/>
      </c>
      <c r="R427" s="48" t="str">
        <f>IF(AND(Creditos!$C$13&lt;&gt;"",Creditos!$M$13="OK",2&lt;=Creditos!$H$13),MAX(0,N427-L427),"")</f>
        <v/>
      </c>
      <c r="S427" s="46" t="str">
        <f>IF(AND(Creditos!$C$13&lt;&gt;"",Creditos!$M$13="OK",2&lt;=Creditos!$H$13),IF(R427&gt;0.005,"Exceso sin imputar",IF(P427&lt;=0.005,"Pagada",IF(E427&lt;Supuestos!$D$6,"Vencida",IF(E427=Supuestos!$D$6,"Vence hoy","Por vencer")))),"")</f>
        <v/>
      </c>
      <c r="T427" s="46">
        <f>IF(AND(Creditos!$C$13&lt;&gt;"",Creditos!$M$13="OK",2&lt;=Creditos!$H$13),IF(P427&gt;0.005,E427,999999),999999)</f>
        <v>999999</v>
      </c>
    </row>
    <row r="428" ht="25.5" customHeight="1">
      <c r="C428" s="46" t="str">
        <f>IF(AND(Creditos!$C$13&lt;&gt;"",Creditos!$M$13="OK",3&lt;=Creditos!$H$13),Creditos!$C$13,"")</f>
        <v/>
      </c>
      <c r="D428" s="46" t="str">
        <f>IF(AND(Creditos!$C$13&lt;&gt;"",Creditos!$M$13="OK",3&lt;=Creditos!$H$13),3,"")</f>
        <v/>
      </c>
      <c r="E428" s="47" t="str">
        <f>IF(AND(Creditos!$C$13&lt;&gt;"",Creditos!$M$13="OK",3&lt;=Creditos!$H$13),EDATE(Creditos!$I$13,2),"")</f>
        <v/>
      </c>
      <c r="F428" s="48" t="str">
        <f>IF(AND(Creditos!$C$13&lt;&gt;"",Creditos!$M$13="OK",3&lt;=Creditos!$H$13),M427,"")</f>
        <v/>
      </c>
      <c r="G428" s="49" t="str">
        <f>IF(AND(Creditos!$C$13&lt;&gt;"",Creditos!$M$13="OK",3&lt;=Creditos!$H$13),Creditos!$N$13,"")</f>
        <v/>
      </c>
      <c r="H428" s="48" t="str">
        <f>IF(AND(Creditos!$C$13&lt;&gt;"",Creditos!$M$13="OK",3&lt;=Creditos!$H$13),ROUND(F428*G428,2),"")</f>
        <v/>
      </c>
      <c r="I428" s="48" t="str">
        <f>IF(AND(Creditos!$C$13&lt;&gt;"",Creditos!$M$13="OK",3&lt;=Creditos!$H$13),IF(3=Creditos!$H$13,F428+H428,MIN(Creditos!$O$13,F428+H428)),"")</f>
        <v/>
      </c>
      <c r="J428" s="48" t="str">
        <f>IF(AND(Creditos!$C$13&lt;&gt;"",Creditos!$M$13="OK",3&lt;=Creditos!$H$13),MIN(F428,MAX(0,I428-H428)),"")</f>
        <v/>
      </c>
      <c r="K428" s="48" t="str">
        <f>IF(AND(Creditos!$C$13&lt;&gt;"",Creditos!$M$13="OK",3&lt;=Creditos!$H$13),Creditos!$J$13+Creditos!$K$13,"")</f>
        <v/>
      </c>
      <c r="L428" s="48" t="str">
        <f>IF(AND(Creditos!$C$13&lt;&gt;"",Creditos!$M$13="OK",3&lt;=Creditos!$H$13),I428+K428,"")</f>
        <v/>
      </c>
      <c r="M428" s="48" t="str">
        <f>IF(AND(Creditos!$C$13&lt;&gt;"",Creditos!$M$13="OK",3&lt;=Creditos!$H$13),MAX(0,F428-J428),"")</f>
        <v/>
      </c>
      <c r="N428" s="48" t="str">
        <f>IF(AND(Creditos!$C$13&lt;&gt;"",Creditos!$M$13="OK",3&lt;=Creditos!$H$13),SUMIFS(Pagos!$F$6:$F$305,Pagos!$C$6:$C$305,C428,Pagos!$D$6:$D$305,D428,Pagos!$E$6:$E$305,"&lt;="&amp;Supuestos!$D$6,Pagos!$H$6:$H$305,"OK"),"")</f>
        <v/>
      </c>
      <c r="O428" s="48" t="str">
        <f>IF(AND(Creditos!$C$13&lt;&gt;"",Creditos!$M$13="OK",3&lt;=Creditos!$H$13),MIN(J428,MAX(0,N428-K428-H428)),"")</f>
        <v/>
      </c>
      <c r="P428" s="48" t="str">
        <f>IF(AND(Creditos!$C$13&lt;&gt;"",Creditos!$M$13="OK",3&lt;=Creditos!$H$13),MAX(0,L428-N428),"")</f>
        <v/>
      </c>
      <c r="Q428" s="50" t="str">
        <f>IF(AND(Creditos!$C$13&lt;&gt;"",Creditos!$M$13="OK",3&lt;=Creditos!$H$13),IF(AND(E428&lt;Supuestos!$D$6,P428&gt;0.005),Supuestos!$D$6-E428,0),"")</f>
        <v/>
      </c>
      <c r="R428" s="48" t="str">
        <f>IF(AND(Creditos!$C$13&lt;&gt;"",Creditos!$M$13="OK",3&lt;=Creditos!$H$13),MAX(0,N428-L428),"")</f>
        <v/>
      </c>
      <c r="S428" s="46" t="str">
        <f>IF(AND(Creditos!$C$13&lt;&gt;"",Creditos!$M$13="OK",3&lt;=Creditos!$H$13),IF(R428&gt;0.005,"Exceso sin imputar",IF(P428&lt;=0.005,"Pagada",IF(E428&lt;Supuestos!$D$6,"Vencida",IF(E428=Supuestos!$D$6,"Vence hoy","Por vencer")))),"")</f>
        <v/>
      </c>
      <c r="T428" s="46">
        <f>IF(AND(Creditos!$C$13&lt;&gt;"",Creditos!$M$13="OK",3&lt;=Creditos!$H$13),IF(P428&gt;0.005,E428,999999),999999)</f>
        <v>999999</v>
      </c>
    </row>
    <row r="429" ht="25.5" customHeight="1">
      <c r="C429" s="46" t="str">
        <f>IF(AND(Creditos!$C$13&lt;&gt;"",Creditos!$M$13="OK",4&lt;=Creditos!$H$13),Creditos!$C$13,"")</f>
        <v/>
      </c>
      <c r="D429" s="46" t="str">
        <f>IF(AND(Creditos!$C$13&lt;&gt;"",Creditos!$M$13="OK",4&lt;=Creditos!$H$13),4,"")</f>
        <v/>
      </c>
      <c r="E429" s="47" t="str">
        <f>IF(AND(Creditos!$C$13&lt;&gt;"",Creditos!$M$13="OK",4&lt;=Creditos!$H$13),EDATE(Creditos!$I$13,3),"")</f>
        <v/>
      </c>
      <c r="F429" s="48" t="str">
        <f>IF(AND(Creditos!$C$13&lt;&gt;"",Creditos!$M$13="OK",4&lt;=Creditos!$H$13),M428,"")</f>
        <v/>
      </c>
      <c r="G429" s="49" t="str">
        <f>IF(AND(Creditos!$C$13&lt;&gt;"",Creditos!$M$13="OK",4&lt;=Creditos!$H$13),Creditos!$N$13,"")</f>
        <v/>
      </c>
      <c r="H429" s="48" t="str">
        <f>IF(AND(Creditos!$C$13&lt;&gt;"",Creditos!$M$13="OK",4&lt;=Creditos!$H$13),ROUND(F429*G429,2),"")</f>
        <v/>
      </c>
      <c r="I429" s="48" t="str">
        <f>IF(AND(Creditos!$C$13&lt;&gt;"",Creditos!$M$13="OK",4&lt;=Creditos!$H$13),IF(4=Creditos!$H$13,F429+H429,MIN(Creditos!$O$13,F429+H429)),"")</f>
        <v/>
      </c>
      <c r="J429" s="48" t="str">
        <f>IF(AND(Creditos!$C$13&lt;&gt;"",Creditos!$M$13="OK",4&lt;=Creditos!$H$13),MIN(F429,MAX(0,I429-H429)),"")</f>
        <v/>
      </c>
      <c r="K429" s="48" t="str">
        <f>IF(AND(Creditos!$C$13&lt;&gt;"",Creditos!$M$13="OK",4&lt;=Creditos!$H$13),Creditos!$J$13+Creditos!$K$13,"")</f>
        <v/>
      </c>
      <c r="L429" s="48" t="str">
        <f>IF(AND(Creditos!$C$13&lt;&gt;"",Creditos!$M$13="OK",4&lt;=Creditos!$H$13),I429+K429,"")</f>
        <v/>
      </c>
      <c r="M429" s="48" t="str">
        <f>IF(AND(Creditos!$C$13&lt;&gt;"",Creditos!$M$13="OK",4&lt;=Creditos!$H$13),MAX(0,F429-J429),"")</f>
        <v/>
      </c>
      <c r="N429" s="48" t="str">
        <f>IF(AND(Creditos!$C$13&lt;&gt;"",Creditos!$M$13="OK",4&lt;=Creditos!$H$13),SUMIFS(Pagos!$F$6:$F$305,Pagos!$C$6:$C$305,C429,Pagos!$D$6:$D$305,D429,Pagos!$E$6:$E$305,"&lt;="&amp;Supuestos!$D$6,Pagos!$H$6:$H$305,"OK"),"")</f>
        <v/>
      </c>
      <c r="O429" s="48" t="str">
        <f>IF(AND(Creditos!$C$13&lt;&gt;"",Creditos!$M$13="OK",4&lt;=Creditos!$H$13),MIN(J429,MAX(0,N429-K429-H429)),"")</f>
        <v/>
      </c>
      <c r="P429" s="48" t="str">
        <f>IF(AND(Creditos!$C$13&lt;&gt;"",Creditos!$M$13="OK",4&lt;=Creditos!$H$13),MAX(0,L429-N429),"")</f>
        <v/>
      </c>
      <c r="Q429" s="50" t="str">
        <f>IF(AND(Creditos!$C$13&lt;&gt;"",Creditos!$M$13="OK",4&lt;=Creditos!$H$13),IF(AND(E429&lt;Supuestos!$D$6,P429&gt;0.005),Supuestos!$D$6-E429,0),"")</f>
        <v/>
      </c>
      <c r="R429" s="48" t="str">
        <f>IF(AND(Creditos!$C$13&lt;&gt;"",Creditos!$M$13="OK",4&lt;=Creditos!$H$13),MAX(0,N429-L429),"")</f>
        <v/>
      </c>
      <c r="S429" s="46" t="str">
        <f>IF(AND(Creditos!$C$13&lt;&gt;"",Creditos!$M$13="OK",4&lt;=Creditos!$H$13),IF(R429&gt;0.005,"Exceso sin imputar",IF(P429&lt;=0.005,"Pagada",IF(E429&lt;Supuestos!$D$6,"Vencida",IF(E429=Supuestos!$D$6,"Vence hoy","Por vencer")))),"")</f>
        <v/>
      </c>
      <c r="T429" s="46">
        <f>IF(AND(Creditos!$C$13&lt;&gt;"",Creditos!$M$13="OK",4&lt;=Creditos!$H$13),IF(P429&gt;0.005,E429,999999),999999)</f>
        <v>999999</v>
      </c>
    </row>
    <row r="430" ht="25.5" customHeight="1">
      <c r="C430" s="46" t="str">
        <f>IF(AND(Creditos!$C$13&lt;&gt;"",Creditos!$M$13="OK",5&lt;=Creditos!$H$13),Creditos!$C$13,"")</f>
        <v/>
      </c>
      <c r="D430" s="46" t="str">
        <f>IF(AND(Creditos!$C$13&lt;&gt;"",Creditos!$M$13="OK",5&lt;=Creditos!$H$13),5,"")</f>
        <v/>
      </c>
      <c r="E430" s="47" t="str">
        <f>IF(AND(Creditos!$C$13&lt;&gt;"",Creditos!$M$13="OK",5&lt;=Creditos!$H$13),EDATE(Creditos!$I$13,4),"")</f>
        <v/>
      </c>
      <c r="F430" s="48" t="str">
        <f>IF(AND(Creditos!$C$13&lt;&gt;"",Creditos!$M$13="OK",5&lt;=Creditos!$H$13),M429,"")</f>
        <v/>
      </c>
      <c r="G430" s="49" t="str">
        <f>IF(AND(Creditos!$C$13&lt;&gt;"",Creditos!$M$13="OK",5&lt;=Creditos!$H$13),Creditos!$N$13,"")</f>
        <v/>
      </c>
      <c r="H430" s="48" t="str">
        <f>IF(AND(Creditos!$C$13&lt;&gt;"",Creditos!$M$13="OK",5&lt;=Creditos!$H$13),ROUND(F430*G430,2),"")</f>
        <v/>
      </c>
      <c r="I430" s="48" t="str">
        <f>IF(AND(Creditos!$C$13&lt;&gt;"",Creditos!$M$13="OK",5&lt;=Creditos!$H$13),IF(5=Creditos!$H$13,F430+H430,MIN(Creditos!$O$13,F430+H430)),"")</f>
        <v/>
      </c>
      <c r="J430" s="48" t="str">
        <f>IF(AND(Creditos!$C$13&lt;&gt;"",Creditos!$M$13="OK",5&lt;=Creditos!$H$13),MIN(F430,MAX(0,I430-H430)),"")</f>
        <v/>
      </c>
      <c r="K430" s="48" t="str">
        <f>IF(AND(Creditos!$C$13&lt;&gt;"",Creditos!$M$13="OK",5&lt;=Creditos!$H$13),Creditos!$J$13+Creditos!$K$13,"")</f>
        <v/>
      </c>
      <c r="L430" s="48" t="str">
        <f>IF(AND(Creditos!$C$13&lt;&gt;"",Creditos!$M$13="OK",5&lt;=Creditos!$H$13),I430+K430,"")</f>
        <v/>
      </c>
      <c r="M430" s="48" t="str">
        <f>IF(AND(Creditos!$C$13&lt;&gt;"",Creditos!$M$13="OK",5&lt;=Creditos!$H$13),MAX(0,F430-J430),"")</f>
        <v/>
      </c>
      <c r="N430" s="48" t="str">
        <f>IF(AND(Creditos!$C$13&lt;&gt;"",Creditos!$M$13="OK",5&lt;=Creditos!$H$13),SUMIFS(Pagos!$F$6:$F$305,Pagos!$C$6:$C$305,C430,Pagos!$D$6:$D$305,D430,Pagos!$E$6:$E$305,"&lt;="&amp;Supuestos!$D$6,Pagos!$H$6:$H$305,"OK"),"")</f>
        <v/>
      </c>
      <c r="O430" s="48" t="str">
        <f>IF(AND(Creditos!$C$13&lt;&gt;"",Creditos!$M$13="OK",5&lt;=Creditos!$H$13),MIN(J430,MAX(0,N430-K430-H430)),"")</f>
        <v/>
      </c>
      <c r="P430" s="48" t="str">
        <f>IF(AND(Creditos!$C$13&lt;&gt;"",Creditos!$M$13="OK",5&lt;=Creditos!$H$13),MAX(0,L430-N430),"")</f>
        <v/>
      </c>
      <c r="Q430" s="50" t="str">
        <f>IF(AND(Creditos!$C$13&lt;&gt;"",Creditos!$M$13="OK",5&lt;=Creditos!$H$13),IF(AND(E430&lt;Supuestos!$D$6,P430&gt;0.005),Supuestos!$D$6-E430,0),"")</f>
        <v/>
      </c>
      <c r="R430" s="48" t="str">
        <f>IF(AND(Creditos!$C$13&lt;&gt;"",Creditos!$M$13="OK",5&lt;=Creditos!$H$13),MAX(0,N430-L430),"")</f>
        <v/>
      </c>
      <c r="S430" s="46" t="str">
        <f>IF(AND(Creditos!$C$13&lt;&gt;"",Creditos!$M$13="OK",5&lt;=Creditos!$H$13),IF(R430&gt;0.005,"Exceso sin imputar",IF(P430&lt;=0.005,"Pagada",IF(E430&lt;Supuestos!$D$6,"Vencida",IF(E430=Supuestos!$D$6,"Vence hoy","Por vencer")))),"")</f>
        <v/>
      </c>
      <c r="T430" s="46">
        <f>IF(AND(Creditos!$C$13&lt;&gt;"",Creditos!$M$13="OK",5&lt;=Creditos!$H$13),IF(P430&gt;0.005,E430,999999),999999)</f>
        <v>999999</v>
      </c>
    </row>
    <row r="431" ht="25.5" customHeight="1">
      <c r="C431" s="46" t="str">
        <f>IF(AND(Creditos!$C$13&lt;&gt;"",Creditos!$M$13="OK",6&lt;=Creditos!$H$13),Creditos!$C$13,"")</f>
        <v/>
      </c>
      <c r="D431" s="46" t="str">
        <f>IF(AND(Creditos!$C$13&lt;&gt;"",Creditos!$M$13="OK",6&lt;=Creditos!$H$13),6,"")</f>
        <v/>
      </c>
      <c r="E431" s="47" t="str">
        <f>IF(AND(Creditos!$C$13&lt;&gt;"",Creditos!$M$13="OK",6&lt;=Creditos!$H$13),EDATE(Creditos!$I$13,5),"")</f>
        <v/>
      </c>
      <c r="F431" s="48" t="str">
        <f>IF(AND(Creditos!$C$13&lt;&gt;"",Creditos!$M$13="OK",6&lt;=Creditos!$H$13),M430,"")</f>
        <v/>
      </c>
      <c r="G431" s="49" t="str">
        <f>IF(AND(Creditos!$C$13&lt;&gt;"",Creditos!$M$13="OK",6&lt;=Creditos!$H$13),Creditos!$N$13,"")</f>
        <v/>
      </c>
      <c r="H431" s="48" t="str">
        <f>IF(AND(Creditos!$C$13&lt;&gt;"",Creditos!$M$13="OK",6&lt;=Creditos!$H$13),ROUND(F431*G431,2),"")</f>
        <v/>
      </c>
      <c r="I431" s="48" t="str">
        <f>IF(AND(Creditos!$C$13&lt;&gt;"",Creditos!$M$13="OK",6&lt;=Creditos!$H$13),IF(6=Creditos!$H$13,F431+H431,MIN(Creditos!$O$13,F431+H431)),"")</f>
        <v/>
      </c>
      <c r="J431" s="48" t="str">
        <f>IF(AND(Creditos!$C$13&lt;&gt;"",Creditos!$M$13="OK",6&lt;=Creditos!$H$13),MIN(F431,MAX(0,I431-H431)),"")</f>
        <v/>
      </c>
      <c r="K431" s="48" t="str">
        <f>IF(AND(Creditos!$C$13&lt;&gt;"",Creditos!$M$13="OK",6&lt;=Creditos!$H$13),Creditos!$J$13+Creditos!$K$13,"")</f>
        <v/>
      </c>
      <c r="L431" s="48" t="str">
        <f>IF(AND(Creditos!$C$13&lt;&gt;"",Creditos!$M$13="OK",6&lt;=Creditos!$H$13),I431+K431,"")</f>
        <v/>
      </c>
      <c r="M431" s="48" t="str">
        <f>IF(AND(Creditos!$C$13&lt;&gt;"",Creditos!$M$13="OK",6&lt;=Creditos!$H$13),MAX(0,F431-J431),"")</f>
        <v/>
      </c>
      <c r="N431" s="48" t="str">
        <f>IF(AND(Creditos!$C$13&lt;&gt;"",Creditos!$M$13="OK",6&lt;=Creditos!$H$13),SUMIFS(Pagos!$F$6:$F$305,Pagos!$C$6:$C$305,C431,Pagos!$D$6:$D$305,D431,Pagos!$E$6:$E$305,"&lt;="&amp;Supuestos!$D$6,Pagos!$H$6:$H$305,"OK"),"")</f>
        <v/>
      </c>
      <c r="O431" s="48" t="str">
        <f>IF(AND(Creditos!$C$13&lt;&gt;"",Creditos!$M$13="OK",6&lt;=Creditos!$H$13),MIN(J431,MAX(0,N431-K431-H431)),"")</f>
        <v/>
      </c>
      <c r="P431" s="48" t="str">
        <f>IF(AND(Creditos!$C$13&lt;&gt;"",Creditos!$M$13="OK",6&lt;=Creditos!$H$13),MAX(0,L431-N431),"")</f>
        <v/>
      </c>
      <c r="Q431" s="50" t="str">
        <f>IF(AND(Creditos!$C$13&lt;&gt;"",Creditos!$M$13="OK",6&lt;=Creditos!$H$13),IF(AND(E431&lt;Supuestos!$D$6,P431&gt;0.005),Supuestos!$D$6-E431,0),"")</f>
        <v/>
      </c>
      <c r="R431" s="48" t="str">
        <f>IF(AND(Creditos!$C$13&lt;&gt;"",Creditos!$M$13="OK",6&lt;=Creditos!$H$13),MAX(0,N431-L431),"")</f>
        <v/>
      </c>
      <c r="S431" s="46" t="str">
        <f>IF(AND(Creditos!$C$13&lt;&gt;"",Creditos!$M$13="OK",6&lt;=Creditos!$H$13),IF(R431&gt;0.005,"Exceso sin imputar",IF(P431&lt;=0.005,"Pagada",IF(E431&lt;Supuestos!$D$6,"Vencida",IF(E431=Supuestos!$D$6,"Vence hoy","Por vencer")))),"")</f>
        <v/>
      </c>
      <c r="T431" s="46">
        <f>IF(AND(Creditos!$C$13&lt;&gt;"",Creditos!$M$13="OK",6&lt;=Creditos!$H$13),IF(P431&gt;0.005,E431,999999),999999)</f>
        <v>999999</v>
      </c>
    </row>
    <row r="432" ht="25.5" customHeight="1">
      <c r="C432" s="46" t="str">
        <f>IF(AND(Creditos!$C$13&lt;&gt;"",Creditos!$M$13="OK",7&lt;=Creditos!$H$13),Creditos!$C$13,"")</f>
        <v/>
      </c>
      <c r="D432" s="46" t="str">
        <f>IF(AND(Creditos!$C$13&lt;&gt;"",Creditos!$M$13="OK",7&lt;=Creditos!$H$13),7,"")</f>
        <v/>
      </c>
      <c r="E432" s="47" t="str">
        <f>IF(AND(Creditos!$C$13&lt;&gt;"",Creditos!$M$13="OK",7&lt;=Creditos!$H$13),EDATE(Creditos!$I$13,6),"")</f>
        <v/>
      </c>
      <c r="F432" s="48" t="str">
        <f>IF(AND(Creditos!$C$13&lt;&gt;"",Creditos!$M$13="OK",7&lt;=Creditos!$H$13),M431,"")</f>
        <v/>
      </c>
      <c r="G432" s="49" t="str">
        <f>IF(AND(Creditos!$C$13&lt;&gt;"",Creditos!$M$13="OK",7&lt;=Creditos!$H$13),Creditos!$N$13,"")</f>
        <v/>
      </c>
      <c r="H432" s="48" t="str">
        <f>IF(AND(Creditos!$C$13&lt;&gt;"",Creditos!$M$13="OK",7&lt;=Creditos!$H$13),ROUND(F432*G432,2),"")</f>
        <v/>
      </c>
      <c r="I432" s="48" t="str">
        <f>IF(AND(Creditos!$C$13&lt;&gt;"",Creditos!$M$13="OK",7&lt;=Creditos!$H$13),IF(7=Creditos!$H$13,F432+H432,MIN(Creditos!$O$13,F432+H432)),"")</f>
        <v/>
      </c>
      <c r="J432" s="48" t="str">
        <f>IF(AND(Creditos!$C$13&lt;&gt;"",Creditos!$M$13="OK",7&lt;=Creditos!$H$13),MIN(F432,MAX(0,I432-H432)),"")</f>
        <v/>
      </c>
      <c r="K432" s="48" t="str">
        <f>IF(AND(Creditos!$C$13&lt;&gt;"",Creditos!$M$13="OK",7&lt;=Creditos!$H$13),Creditos!$J$13+Creditos!$K$13,"")</f>
        <v/>
      </c>
      <c r="L432" s="48" t="str">
        <f>IF(AND(Creditos!$C$13&lt;&gt;"",Creditos!$M$13="OK",7&lt;=Creditos!$H$13),I432+K432,"")</f>
        <v/>
      </c>
      <c r="M432" s="48" t="str">
        <f>IF(AND(Creditos!$C$13&lt;&gt;"",Creditos!$M$13="OK",7&lt;=Creditos!$H$13),MAX(0,F432-J432),"")</f>
        <v/>
      </c>
      <c r="N432" s="48" t="str">
        <f>IF(AND(Creditos!$C$13&lt;&gt;"",Creditos!$M$13="OK",7&lt;=Creditos!$H$13),SUMIFS(Pagos!$F$6:$F$305,Pagos!$C$6:$C$305,C432,Pagos!$D$6:$D$305,D432,Pagos!$E$6:$E$305,"&lt;="&amp;Supuestos!$D$6,Pagos!$H$6:$H$305,"OK"),"")</f>
        <v/>
      </c>
      <c r="O432" s="48" t="str">
        <f>IF(AND(Creditos!$C$13&lt;&gt;"",Creditos!$M$13="OK",7&lt;=Creditos!$H$13),MIN(J432,MAX(0,N432-K432-H432)),"")</f>
        <v/>
      </c>
      <c r="P432" s="48" t="str">
        <f>IF(AND(Creditos!$C$13&lt;&gt;"",Creditos!$M$13="OK",7&lt;=Creditos!$H$13),MAX(0,L432-N432),"")</f>
        <v/>
      </c>
      <c r="Q432" s="50" t="str">
        <f>IF(AND(Creditos!$C$13&lt;&gt;"",Creditos!$M$13="OK",7&lt;=Creditos!$H$13),IF(AND(E432&lt;Supuestos!$D$6,P432&gt;0.005),Supuestos!$D$6-E432,0),"")</f>
        <v/>
      </c>
      <c r="R432" s="48" t="str">
        <f>IF(AND(Creditos!$C$13&lt;&gt;"",Creditos!$M$13="OK",7&lt;=Creditos!$H$13),MAX(0,N432-L432),"")</f>
        <v/>
      </c>
      <c r="S432" s="46" t="str">
        <f>IF(AND(Creditos!$C$13&lt;&gt;"",Creditos!$M$13="OK",7&lt;=Creditos!$H$13),IF(R432&gt;0.005,"Exceso sin imputar",IF(P432&lt;=0.005,"Pagada",IF(E432&lt;Supuestos!$D$6,"Vencida",IF(E432=Supuestos!$D$6,"Vence hoy","Por vencer")))),"")</f>
        <v/>
      </c>
      <c r="T432" s="46">
        <f>IF(AND(Creditos!$C$13&lt;&gt;"",Creditos!$M$13="OK",7&lt;=Creditos!$H$13),IF(P432&gt;0.005,E432,999999),999999)</f>
        <v>999999</v>
      </c>
    </row>
    <row r="433" ht="25.5" customHeight="1">
      <c r="C433" s="46" t="str">
        <f>IF(AND(Creditos!$C$13&lt;&gt;"",Creditos!$M$13="OK",8&lt;=Creditos!$H$13),Creditos!$C$13,"")</f>
        <v/>
      </c>
      <c r="D433" s="46" t="str">
        <f>IF(AND(Creditos!$C$13&lt;&gt;"",Creditos!$M$13="OK",8&lt;=Creditos!$H$13),8,"")</f>
        <v/>
      </c>
      <c r="E433" s="47" t="str">
        <f>IF(AND(Creditos!$C$13&lt;&gt;"",Creditos!$M$13="OK",8&lt;=Creditos!$H$13),EDATE(Creditos!$I$13,7),"")</f>
        <v/>
      </c>
      <c r="F433" s="48" t="str">
        <f>IF(AND(Creditos!$C$13&lt;&gt;"",Creditos!$M$13="OK",8&lt;=Creditos!$H$13),M432,"")</f>
        <v/>
      </c>
      <c r="G433" s="49" t="str">
        <f>IF(AND(Creditos!$C$13&lt;&gt;"",Creditos!$M$13="OK",8&lt;=Creditos!$H$13),Creditos!$N$13,"")</f>
        <v/>
      </c>
      <c r="H433" s="48" t="str">
        <f>IF(AND(Creditos!$C$13&lt;&gt;"",Creditos!$M$13="OK",8&lt;=Creditos!$H$13),ROUND(F433*G433,2),"")</f>
        <v/>
      </c>
      <c r="I433" s="48" t="str">
        <f>IF(AND(Creditos!$C$13&lt;&gt;"",Creditos!$M$13="OK",8&lt;=Creditos!$H$13),IF(8=Creditos!$H$13,F433+H433,MIN(Creditos!$O$13,F433+H433)),"")</f>
        <v/>
      </c>
      <c r="J433" s="48" t="str">
        <f>IF(AND(Creditos!$C$13&lt;&gt;"",Creditos!$M$13="OK",8&lt;=Creditos!$H$13),MIN(F433,MAX(0,I433-H433)),"")</f>
        <v/>
      </c>
      <c r="K433" s="48" t="str">
        <f>IF(AND(Creditos!$C$13&lt;&gt;"",Creditos!$M$13="OK",8&lt;=Creditos!$H$13),Creditos!$J$13+Creditos!$K$13,"")</f>
        <v/>
      </c>
      <c r="L433" s="48" t="str">
        <f>IF(AND(Creditos!$C$13&lt;&gt;"",Creditos!$M$13="OK",8&lt;=Creditos!$H$13),I433+K433,"")</f>
        <v/>
      </c>
      <c r="M433" s="48" t="str">
        <f>IF(AND(Creditos!$C$13&lt;&gt;"",Creditos!$M$13="OK",8&lt;=Creditos!$H$13),MAX(0,F433-J433),"")</f>
        <v/>
      </c>
      <c r="N433" s="48" t="str">
        <f>IF(AND(Creditos!$C$13&lt;&gt;"",Creditos!$M$13="OK",8&lt;=Creditos!$H$13),SUMIFS(Pagos!$F$6:$F$305,Pagos!$C$6:$C$305,C433,Pagos!$D$6:$D$305,D433,Pagos!$E$6:$E$305,"&lt;="&amp;Supuestos!$D$6,Pagos!$H$6:$H$305,"OK"),"")</f>
        <v/>
      </c>
      <c r="O433" s="48" t="str">
        <f>IF(AND(Creditos!$C$13&lt;&gt;"",Creditos!$M$13="OK",8&lt;=Creditos!$H$13),MIN(J433,MAX(0,N433-K433-H433)),"")</f>
        <v/>
      </c>
      <c r="P433" s="48" t="str">
        <f>IF(AND(Creditos!$C$13&lt;&gt;"",Creditos!$M$13="OK",8&lt;=Creditos!$H$13),MAX(0,L433-N433),"")</f>
        <v/>
      </c>
      <c r="Q433" s="50" t="str">
        <f>IF(AND(Creditos!$C$13&lt;&gt;"",Creditos!$M$13="OK",8&lt;=Creditos!$H$13),IF(AND(E433&lt;Supuestos!$D$6,P433&gt;0.005),Supuestos!$D$6-E433,0),"")</f>
        <v/>
      </c>
      <c r="R433" s="48" t="str">
        <f>IF(AND(Creditos!$C$13&lt;&gt;"",Creditos!$M$13="OK",8&lt;=Creditos!$H$13),MAX(0,N433-L433),"")</f>
        <v/>
      </c>
      <c r="S433" s="46" t="str">
        <f>IF(AND(Creditos!$C$13&lt;&gt;"",Creditos!$M$13="OK",8&lt;=Creditos!$H$13),IF(R433&gt;0.005,"Exceso sin imputar",IF(P433&lt;=0.005,"Pagada",IF(E433&lt;Supuestos!$D$6,"Vencida",IF(E433=Supuestos!$D$6,"Vence hoy","Por vencer")))),"")</f>
        <v/>
      </c>
      <c r="T433" s="46">
        <f>IF(AND(Creditos!$C$13&lt;&gt;"",Creditos!$M$13="OK",8&lt;=Creditos!$H$13),IF(P433&gt;0.005,E433,999999),999999)</f>
        <v>999999</v>
      </c>
    </row>
    <row r="434" ht="25.5" customHeight="1">
      <c r="C434" s="46" t="str">
        <f>IF(AND(Creditos!$C$13&lt;&gt;"",Creditos!$M$13="OK",9&lt;=Creditos!$H$13),Creditos!$C$13,"")</f>
        <v/>
      </c>
      <c r="D434" s="46" t="str">
        <f>IF(AND(Creditos!$C$13&lt;&gt;"",Creditos!$M$13="OK",9&lt;=Creditos!$H$13),9,"")</f>
        <v/>
      </c>
      <c r="E434" s="47" t="str">
        <f>IF(AND(Creditos!$C$13&lt;&gt;"",Creditos!$M$13="OK",9&lt;=Creditos!$H$13),EDATE(Creditos!$I$13,8),"")</f>
        <v/>
      </c>
      <c r="F434" s="48" t="str">
        <f>IF(AND(Creditos!$C$13&lt;&gt;"",Creditos!$M$13="OK",9&lt;=Creditos!$H$13),M433,"")</f>
        <v/>
      </c>
      <c r="G434" s="49" t="str">
        <f>IF(AND(Creditos!$C$13&lt;&gt;"",Creditos!$M$13="OK",9&lt;=Creditos!$H$13),Creditos!$N$13,"")</f>
        <v/>
      </c>
      <c r="H434" s="48" t="str">
        <f>IF(AND(Creditos!$C$13&lt;&gt;"",Creditos!$M$13="OK",9&lt;=Creditos!$H$13),ROUND(F434*G434,2),"")</f>
        <v/>
      </c>
      <c r="I434" s="48" t="str">
        <f>IF(AND(Creditos!$C$13&lt;&gt;"",Creditos!$M$13="OK",9&lt;=Creditos!$H$13),IF(9=Creditos!$H$13,F434+H434,MIN(Creditos!$O$13,F434+H434)),"")</f>
        <v/>
      </c>
      <c r="J434" s="48" t="str">
        <f>IF(AND(Creditos!$C$13&lt;&gt;"",Creditos!$M$13="OK",9&lt;=Creditos!$H$13),MIN(F434,MAX(0,I434-H434)),"")</f>
        <v/>
      </c>
      <c r="K434" s="48" t="str">
        <f>IF(AND(Creditos!$C$13&lt;&gt;"",Creditos!$M$13="OK",9&lt;=Creditos!$H$13),Creditos!$J$13+Creditos!$K$13,"")</f>
        <v/>
      </c>
      <c r="L434" s="48" t="str">
        <f>IF(AND(Creditos!$C$13&lt;&gt;"",Creditos!$M$13="OK",9&lt;=Creditos!$H$13),I434+K434,"")</f>
        <v/>
      </c>
      <c r="M434" s="48" t="str">
        <f>IF(AND(Creditos!$C$13&lt;&gt;"",Creditos!$M$13="OK",9&lt;=Creditos!$H$13),MAX(0,F434-J434),"")</f>
        <v/>
      </c>
      <c r="N434" s="48" t="str">
        <f>IF(AND(Creditos!$C$13&lt;&gt;"",Creditos!$M$13="OK",9&lt;=Creditos!$H$13),SUMIFS(Pagos!$F$6:$F$305,Pagos!$C$6:$C$305,C434,Pagos!$D$6:$D$305,D434,Pagos!$E$6:$E$305,"&lt;="&amp;Supuestos!$D$6,Pagos!$H$6:$H$305,"OK"),"")</f>
        <v/>
      </c>
      <c r="O434" s="48" t="str">
        <f>IF(AND(Creditos!$C$13&lt;&gt;"",Creditos!$M$13="OK",9&lt;=Creditos!$H$13),MIN(J434,MAX(0,N434-K434-H434)),"")</f>
        <v/>
      </c>
      <c r="P434" s="48" t="str">
        <f>IF(AND(Creditos!$C$13&lt;&gt;"",Creditos!$M$13="OK",9&lt;=Creditos!$H$13),MAX(0,L434-N434),"")</f>
        <v/>
      </c>
      <c r="Q434" s="50" t="str">
        <f>IF(AND(Creditos!$C$13&lt;&gt;"",Creditos!$M$13="OK",9&lt;=Creditos!$H$13),IF(AND(E434&lt;Supuestos!$D$6,P434&gt;0.005),Supuestos!$D$6-E434,0),"")</f>
        <v/>
      </c>
      <c r="R434" s="48" t="str">
        <f>IF(AND(Creditos!$C$13&lt;&gt;"",Creditos!$M$13="OK",9&lt;=Creditos!$H$13),MAX(0,N434-L434),"")</f>
        <v/>
      </c>
      <c r="S434" s="46" t="str">
        <f>IF(AND(Creditos!$C$13&lt;&gt;"",Creditos!$M$13="OK",9&lt;=Creditos!$H$13),IF(R434&gt;0.005,"Exceso sin imputar",IF(P434&lt;=0.005,"Pagada",IF(E434&lt;Supuestos!$D$6,"Vencida",IF(E434=Supuestos!$D$6,"Vence hoy","Por vencer")))),"")</f>
        <v/>
      </c>
      <c r="T434" s="46">
        <f>IF(AND(Creditos!$C$13&lt;&gt;"",Creditos!$M$13="OK",9&lt;=Creditos!$H$13),IF(P434&gt;0.005,E434,999999),999999)</f>
        <v>999999</v>
      </c>
    </row>
    <row r="435" ht="25.5" customHeight="1">
      <c r="C435" s="46" t="str">
        <f>IF(AND(Creditos!$C$13&lt;&gt;"",Creditos!$M$13="OK",10&lt;=Creditos!$H$13),Creditos!$C$13,"")</f>
        <v/>
      </c>
      <c r="D435" s="46" t="str">
        <f>IF(AND(Creditos!$C$13&lt;&gt;"",Creditos!$M$13="OK",10&lt;=Creditos!$H$13),10,"")</f>
        <v/>
      </c>
      <c r="E435" s="47" t="str">
        <f>IF(AND(Creditos!$C$13&lt;&gt;"",Creditos!$M$13="OK",10&lt;=Creditos!$H$13),EDATE(Creditos!$I$13,9),"")</f>
        <v/>
      </c>
      <c r="F435" s="48" t="str">
        <f>IF(AND(Creditos!$C$13&lt;&gt;"",Creditos!$M$13="OK",10&lt;=Creditos!$H$13),M434,"")</f>
        <v/>
      </c>
      <c r="G435" s="49" t="str">
        <f>IF(AND(Creditos!$C$13&lt;&gt;"",Creditos!$M$13="OK",10&lt;=Creditos!$H$13),Creditos!$N$13,"")</f>
        <v/>
      </c>
      <c r="H435" s="48" t="str">
        <f>IF(AND(Creditos!$C$13&lt;&gt;"",Creditos!$M$13="OK",10&lt;=Creditos!$H$13),ROUND(F435*G435,2),"")</f>
        <v/>
      </c>
      <c r="I435" s="48" t="str">
        <f>IF(AND(Creditos!$C$13&lt;&gt;"",Creditos!$M$13="OK",10&lt;=Creditos!$H$13),IF(10=Creditos!$H$13,F435+H435,MIN(Creditos!$O$13,F435+H435)),"")</f>
        <v/>
      </c>
      <c r="J435" s="48" t="str">
        <f>IF(AND(Creditos!$C$13&lt;&gt;"",Creditos!$M$13="OK",10&lt;=Creditos!$H$13),MIN(F435,MAX(0,I435-H435)),"")</f>
        <v/>
      </c>
      <c r="K435" s="48" t="str">
        <f>IF(AND(Creditos!$C$13&lt;&gt;"",Creditos!$M$13="OK",10&lt;=Creditos!$H$13),Creditos!$J$13+Creditos!$K$13,"")</f>
        <v/>
      </c>
      <c r="L435" s="48" t="str">
        <f>IF(AND(Creditos!$C$13&lt;&gt;"",Creditos!$M$13="OK",10&lt;=Creditos!$H$13),I435+K435,"")</f>
        <v/>
      </c>
      <c r="M435" s="48" t="str">
        <f>IF(AND(Creditos!$C$13&lt;&gt;"",Creditos!$M$13="OK",10&lt;=Creditos!$H$13),MAX(0,F435-J435),"")</f>
        <v/>
      </c>
      <c r="N435" s="48" t="str">
        <f>IF(AND(Creditos!$C$13&lt;&gt;"",Creditos!$M$13="OK",10&lt;=Creditos!$H$13),SUMIFS(Pagos!$F$6:$F$305,Pagos!$C$6:$C$305,C435,Pagos!$D$6:$D$305,D435,Pagos!$E$6:$E$305,"&lt;="&amp;Supuestos!$D$6,Pagos!$H$6:$H$305,"OK"),"")</f>
        <v/>
      </c>
      <c r="O435" s="48" t="str">
        <f>IF(AND(Creditos!$C$13&lt;&gt;"",Creditos!$M$13="OK",10&lt;=Creditos!$H$13),MIN(J435,MAX(0,N435-K435-H435)),"")</f>
        <v/>
      </c>
      <c r="P435" s="48" t="str">
        <f>IF(AND(Creditos!$C$13&lt;&gt;"",Creditos!$M$13="OK",10&lt;=Creditos!$H$13),MAX(0,L435-N435),"")</f>
        <v/>
      </c>
      <c r="Q435" s="50" t="str">
        <f>IF(AND(Creditos!$C$13&lt;&gt;"",Creditos!$M$13="OK",10&lt;=Creditos!$H$13),IF(AND(E435&lt;Supuestos!$D$6,P435&gt;0.005),Supuestos!$D$6-E435,0),"")</f>
        <v/>
      </c>
      <c r="R435" s="48" t="str">
        <f>IF(AND(Creditos!$C$13&lt;&gt;"",Creditos!$M$13="OK",10&lt;=Creditos!$H$13),MAX(0,N435-L435),"")</f>
        <v/>
      </c>
      <c r="S435" s="46" t="str">
        <f>IF(AND(Creditos!$C$13&lt;&gt;"",Creditos!$M$13="OK",10&lt;=Creditos!$H$13),IF(R435&gt;0.005,"Exceso sin imputar",IF(P435&lt;=0.005,"Pagada",IF(E435&lt;Supuestos!$D$6,"Vencida",IF(E435=Supuestos!$D$6,"Vence hoy","Por vencer")))),"")</f>
        <v/>
      </c>
      <c r="T435" s="46">
        <f>IF(AND(Creditos!$C$13&lt;&gt;"",Creditos!$M$13="OK",10&lt;=Creditos!$H$13),IF(P435&gt;0.005,E435,999999),999999)</f>
        <v>999999</v>
      </c>
    </row>
    <row r="436" ht="25.5" customHeight="1">
      <c r="C436" s="46" t="str">
        <f>IF(AND(Creditos!$C$13&lt;&gt;"",Creditos!$M$13="OK",11&lt;=Creditos!$H$13),Creditos!$C$13,"")</f>
        <v/>
      </c>
      <c r="D436" s="46" t="str">
        <f>IF(AND(Creditos!$C$13&lt;&gt;"",Creditos!$M$13="OK",11&lt;=Creditos!$H$13),11,"")</f>
        <v/>
      </c>
      <c r="E436" s="47" t="str">
        <f>IF(AND(Creditos!$C$13&lt;&gt;"",Creditos!$M$13="OK",11&lt;=Creditos!$H$13),EDATE(Creditos!$I$13,10),"")</f>
        <v/>
      </c>
      <c r="F436" s="48" t="str">
        <f>IF(AND(Creditos!$C$13&lt;&gt;"",Creditos!$M$13="OK",11&lt;=Creditos!$H$13),M435,"")</f>
        <v/>
      </c>
      <c r="G436" s="49" t="str">
        <f>IF(AND(Creditos!$C$13&lt;&gt;"",Creditos!$M$13="OK",11&lt;=Creditos!$H$13),Creditos!$N$13,"")</f>
        <v/>
      </c>
      <c r="H436" s="48" t="str">
        <f>IF(AND(Creditos!$C$13&lt;&gt;"",Creditos!$M$13="OK",11&lt;=Creditos!$H$13),ROUND(F436*G436,2),"")</f>
        <v/>
      </c>
      <c r="I436" s="48" t="str">
        <f>IF(AND(Creditos!$C$13&lt;&gt;"",Creditos!$M$13="OK",11&lt;=Creditos!$H$13),IF(11=Creditos!$H$13,F436+H436,MIN(Creditos!$O$13,F436+H436)),"")</f>
        <v/>
      </c>
      <c r="J436" s="48" t="str">
        <f>IF(AND(Creditos!$C$13&lt;&gt;"",Creditos!$M$13="OK",11&lt;=Creditos!$H$13),MIN(F436,MAX(0,I436-H436)),"")</f>
        <v/>
      </c>
      <c r="K436" s="48" t="str">
        <f>IF(AND(Creditos!$C$13&lt;&gt;"",Creditos!$M$13="OK",11&lt;=Creditos!$H$13),Creditos!$J$13+Creditos!$K$13,"")</f>
        <v/>
      </c>
      <c r="L436" s="48" t="str">
        <f>IF(AND(Creditos!$C$13&lt;&gt;"",Creditos!$M$13="OK",11&lt;=Creditos!$H$13),I436+K436,"")</f>
        <v/>
      </c>
      <c r="M436" s="48" t="str">
        <f>IF(AND(Creditos!$C$13&lt;&gt;"",Creditos!$M$13="OK",11&lt;=Creditos!$H$13),MAX(0,F436-J436),"")</f>
        <v/>
      </c>
      <c r="N436" s="48" t="str">
        <f>IF(AND(Creditos!$C$13&lt;&gt;"",Creditos!$M$13="OK",11&lt;=Creditos!$H$13),SUMIFS(Pagos!$F$6:$F$305,Pagos!$C$6:$C$305,C436,Pagos!$D$6:$D$305,D436,Pagos!$E$6:$E$305,"&lt;="&amp;Supuestos!$D$6,Pagos!$H$6:$H$305,"OK"),"")</f>
        <v/>
      </c>
      <c r="O436" s="48" t="str">
        <f>IF(AND(Creditos!$C$13&lt;&gt;"",Creditos!$M$13="OK",11&lt;=Creditos!$H$13),MIN(J436,MAX(0,N436-K436-H436)),"")</f>
        <v/>
      </c>
      <c r="P436" s="48" t="str">
        <f>IF(AND(Creditos!$C$13&lt;&gt;"",Creditos!$M$13="OK",11&lt;=Creditos!$H$13),MAX(0,L436-N436),"")</f>
        <v/>
      </c>
      <c r="Q436" s="50" t="str">
        <f>IF(AND(Creditos!$C$13&lt;&gt;"",Creditos!$M$13="OK",11&lt;=Creditos!$H$13),IF(AND(E436&lt;Supuestos!$D$6,P436&gt;0.005),Supuestos!$D$6-E436,0),"")</f>
        <v/>
      </c>
      <c r="R436" s="48" t="str">
        <f>IF(AND(Creditos!$C$13&lt;&gt;"",Creditos!$M$13="OK",11&lt;=Creditos!$H$13),MAX(0,N436-L436),"")</f>
        <v/>
      </c>
      <c r="S436" s="46" t="str">
        <f>IF(AND(Creditos!$C$13&lt;&gt;"",Creditos!$M$13="OK",11&lt;=Creditos!$H$13),IF(R436&gt;0.005,"Exceso sin imputar",IF(P436&lt;=0.005,"Pagada",IF(E436&lt;Supuestos!$D$6,"Vencida",IF(E436=Supuestos!$D$6,"Vence hoy","Por vencer")))),"")</f>
        <v/>
      </c>
      <c r="T436" s="46">
        <f>IF(AND(Creditos!$C$13&lt;&gt;"",Creditos!$M$13="OK",11&lt;=Creditos!$H$13),IF(P436&gt;0.005,E436,999999),999999)</f>
        <v>999999</v>
      </c>
    </row>
    <row r="437" ht="25.5" customHeight="1">
      <c r="C437" s="46" t="str">
        <f>IF(AND(Creditos!$C$13&lt;&gt;"",Creditos!$M$13="OK",12&lt;=Creditos!$H$13),Creditos!$C$13,"")</f>
        <v/>
      </c>
      <c r="D437" s="46" t="str">
        <f>IF(AND(Creditos!$C$13&lt;&gt;"",Creditos!$M$13="OK",12&lt;=Creditos!$H$13),12,"")</f>
        <v/>
      </c>
      <c r="E437" s="47" t="str">
        <f>IF(AND(Creditos!$C$13&lt;&gt;"",Creditos!$M$13="OK",12&lt;=Creditos!$H$13),EDATE(Creditos!$I$13,11),"")</f>
        <v/>
      </c>
      <c r="F437" s="48" t="str">
        <f>IF(AND(Creditos!$C$13&lt;&gt;"",Creditos!$M$13="OK",12&lt;=Creditos!$H$13),M436,"")</f>
        <v/>
      </c>
      <c r="G437" s="49" t="str">
        <f>IF(AND(Creditos!$C$13&lt;&gt;"",Creditos!$M$13="OK",12&lt;=Creditos!$H$13),Creditos!$N$13,"")</f>
        <v/>
      </c>
      <c r="H437" s="48" t="str">
        <f>IF(AND(Creditos!$C$13&lt;&gt;"",Creditos!$M$13="OK",12&lt;=Creditos!$H$13),ROUND(F437*G437,2),"")</f>
        <v/>
      </c>
      <c r="I437" s="48" t="str">
        <f>IF(AND(Creditos!$C$13&lt;&gt;"",Creditos!$M$13="OK",12&lt;=Creditos!$H$13),IF(12=Creditos!$H$13,F437+H437,MIN(Creditos!$O$13,F437+H437)),"")</f>
        <v/>
      </c>
      <c r="J437" s="48" t="str">
        <f>IF(AND(Creditos!$C$13&lt;&gt;"",Creditos!$M$13="OK",12&lt;=Creditos!$H$13),MIN(F437,MAX(0,I437-H437)),"")</f>
        <v/>
      </c>
      <c r="K437" s="48" t="str">
        <f>IF(AND(Creditos!$C$13&lt;&gt;"",Creditos!$M$13="OK",12&lt;=Creditos!$H$13),Creditos!$J$13+Creditos!$K$13,"")</f>
        <v/>
      </c>
      <c r="L437" s="48" t="str">
        <f>IF(AND(Creditos!$C$13&lt;&gt;"",Creditos!$M$13="OK",12&lt;=Creditos!$H$13),I437+K437,"")</f>
        <v/>
      </c>
      <c r="M437" s="48" t="str">
        <f>IF(AND(Creditos!$C$13&lt;&gt;"",Creditos!$M$13="OK",12&lt;=Creditos!$H$13),MAX(0,F437-J437),"")</f>
        <v/>
      </c>
      <c r="N437" s="48" t="str">
        <f>IF(AND(Creditos!$C$13&lt;&gt;"",Creditos!$M$13="OK",12&lt;=Creditos!$H$13),SUMIFS(Pagos!$F$6:$F$305,Pagos!$C$6:$C$305,C437,Pagos!$D$6:$D$305,D437,Pagos!$E$6:$E$305,"&lt;="&amp;Supuestos!$D$6,Pagos!$H$6:$H$305,"OK"),"")</f>
        <v/>
      </c>
      <c r="O437" s="48" t="str">
        <f>IF(AND(Creditos!$C$13&lt;&gt;"",Creditos!$M$13="OK",12&lt;=Creditos!$H$13),MIN(J437,MAX(0,N437-K437-H437)),"")</f>
        <v/>
      </c>
      <c r="P437" s="48" t="str">
        <f>IF(AND(Creditos!$C$13&lt;&gt;"",Creditos!$M$13="OK",12&lt;=Creditos!$H$13),MAX(0,L437-N437),"")</f>
        <v/>
      </c>
      <c r="Q437" s="50" t="str">
        <f>IF(AND(Creditos!$C$13&lt;&gt;"",Creditos!$M$13="OK",12&lt;=Creditos!$H$13),IF(AND(E437&lt;Supuestos!$D$6,P437&gt;0.005),Supuestos!$D$6-E437,0),"")</f>
        <v/>
      </c>
      <c r="R437" s="48" t="str">
        <f>IF(AND(Creditos!$C$13&lt;&gt;"",Creditos!$M$13="OK",12&lt;=Creditos!$H$13),MAX(0,N437-L437),"")</f>
        <v/>
      </c>
      <c r="S437" s="46" t="str">
        <f>IF(AND(Creditos!$C$13&lt;&gt;"",Creditos!$M$13="OK",12&lt;=Creditos!$H$13),IF(R437&gt;0.005,"Exceso sin imputar",IF(P437&lt;=0.005,"Pagada",IF(E437&lt;Supuestos!$D$6,"Vencida",IF(E437=Supuestos!$D$6,"Vence hoy","Por vencer")))),"")</f>
        <v/>
      </c>
      <c r="T437" s="46">
        <f>IF(AND(Creditos!$C$13&lt;&gt;"",Creditos!$M$13="OK",12&lt;=Creditos!$H$13),IF(P437&gt;0.005,E437,999999),999999)</f>
        <v>999999</v>
      </c>
    </row>
    <row r="438" ht="25.5" customHeight="1">
      <c r="C438" s="46" t="str">
        <f>IF(AND(Creditos!$C$13&lt;&gt;"",Creditos!$M$13="OK",13&lt;=Creditos!$H$13),Creditos!$C$13,"")</f>
        <v/>
      </c>
      <c r="D438" s="46" t="str">
        <f>IF(AND(Creditos!$C$13&lt;&gt;"",Creditos!$M$13="OK",13&lt;=Creditos!$H$13),13,"")</f>
        <v/>
      </c>
      <c r="E438" s="47" t="str">
        <f>IF(AND(Creditos!$C$13&lt;&gt;"",Creditos!$M$13="OK",13&lt;=Creditos!$H$13),EDATE(Creditos!$I$13,12),"")</f>
        <v/>
      </c>
      <c r="F438" s="48" t="str">
        <f>IF(AND(Creditos!$C$13&lt;&gt;"",Creditos!$M$13="OK",13&lt;=Creditos!$H$13),M437,"")</f>
        <v/>
      </c>
      <c r="G438" s="49" t="str">
        <f>IF(AND(Creditos!$C$13&lt;&gt;"",Creditos!$M$13="OK",13&lt;=Creditos!$H$13),Creditos!$N$13,"")</f>
        <v/>
      </c>
      <c r="H438" s="48" t="str">
        <f>IF(AND(Creditos!$C$13&lt;&gt;"",Creditos!$M$13="OK",13&lt;=Creditos!$H$13),ROUND(F438*G438,2),"")</f>
        <v/>
      </c>
      <c r="I438" s="48" t="str">
        <f>IF(AND(Creditos!$C$13&lt;&gt;"",Creditos!$M$13="OK",13&lt;=Creditos!$H$13),IF(13=Creditos!$H$13,F438+H438,MIN(Creditos!$O$13,F438+H438)),"")</f>
        <v/>
      </c>
      <c r="J438" s="48" t="str">
        <f>IF(AND(Creditos!$C$13&lt;&gt;"",Creditos!$M$13="OK",13&lt;=Creditos!$H$13),MIN(F438,MAX(0,I438-H438)),"")</f>
        <v/>
      </c>
      <c r="K438" s="48" t="str">
        <f>IF(AND(Creditos!$C$13&lt;&gt;"",Creditos!$M$13="OK",13&lt;=Creditos!$H$13),Creditos!$J$13+Creditos!$K$13,"")</f>
        <v/>
      </c>
      <c r="L438" s="48" t="str">
        <f>IF(AND(Creditos!$C$13&lt;&gt;"",Creditos!$M$13="OK",13&lt;=Creditos!$H$13),I438+K438,"")</f>
        <v/>
      </c>
      <c r="M438" s="48" t="str">
        <f>IF(AND(Creditos!$C$13&lt;&gt;"",Creditos!$M$13="OK",13&lt;=Creditos!$H$13),MAX(0,F438-J438),"")</f>
        <v/>
      </c>
      <c r="N438" s="48" t="str">
        <f>IF(AND(Creditos!$C$13&lt;&gt;"",Creditos!$M$13="OK",13&lt;=Creditos!$H$13),SUMIFS(Pagos!$F$6:$F$305,Pagos!$C$6:$C$305,C438,Pagos!$D$6:$D$305,D438,Pagos!$E$6:$E$305,"&lt;="&amp;Supuestos!$D$6,Pagos!$H$6:$H$305,"OK"),"")</f>
        <v/>
      </c>
      <c r="O438" s="48" t="str">
        <f>IF(AND(Creditos!$C$13&lt;&gt;"",Creditos!$M$13="OK",13&lt;=Creditos!$H$13),MIN(J438,MAX(0,N438-K438-H438)),"")</f>
        <v/>
      </c>
      <c r="P438" s="48" t="str">
        <f>IF(AND(Creditos!$C$13&lt;&gt;"",Creditos!$M$13="OK",13&lt;=Creditos!$H$13),MAX(0,L438-N438),"")</f>
        <v/>
      </c>
      <c r="Q438" s="50" t="str">
        <f>IF(AND(Creditos!$C$13&lt;&gt;"",Creditos!$M$13="OK",13&lt;=Creditos!$H$13),IF(AND(E438&lt;Supuestos!$D$6,P438&gt;0.005),Supuestos!$D$6-E438,0),"")</f>
        <v/>
      </c>
      <c r="R438" s="48" t="str">
        <f>IF(AND(Creditos!$C$13&lt;&gt;"",Creditos!$M$13="OK",13&lt;=Creditos!$H$13),MAX(0,N438-L438),"")</f>
        <v/>
      </c>
      <c r="S438" s="46" t="str">
        <f>IF(AND(Creditos!$C$13&lt;&gt;"",Creditos!$M$13="OK",13&lt;=Creditos!$H$13),IF(R438&gt;0.005,"Exceso sin imputar",IF(P438&lt;=0.005,"Pagada",IF(E438&lt;Supuestos!$D$6,"Vencida",IF(E438=Supuestos!$D$6,"Vence hoy","Por vencer")))),"")</f>
        <v/>
      </c>
      <c r="T438" s="46">
        <f>IF(AND(Creditos!$C$13&lt;&gt;"",Creditos!$M$13="OK",13&lt;=Creditos!$H$13),IF(P438&gt;0.005,E438,999999),999999)</f>
        <v>999999</v>
      </c>
    </row>
    <row r="439" ht="25.5" customHeight="1">
      <c r="C439" s="46" t="str">
        <f>IF(AND(Creditos!$C$13&lt;&gt;"",Creditos!$M$13="OK",14&lt;=Creditos!$H$13),Creditos!$C$13,"")</f>
        <v/>
      </c>
      <c r="D439" s="46" t="str">
        <f>IF(AND(Creditos!$C$13&lt;&gt;"",Creditos!$M$13="OK",14&lt;=Creditos!$H$13),14,"")</f>
        <v/>
      </c>
      <c r="E439" s="47" t="str">
        <f>IF(AND(Creditos!$C$13&lt;&gt;"",Creditos!$M$13="OK",14&lt;=Creditos!$H$13),EDATE(Creditos!$I$13,13),"")</f>
        <v/>
      </c>
      <c r="F439" s="48" t="str">
        <f>IF(AND(Creditos!$C$13&lt;&gt;"",Creditos!$M$13="OK",14&lt;=Creditos!$H$13),M438,"")</f>
        <v/>
      </c>
      <c r="G439" s="49" t="str">
        <f>IF(AND(Creditos!$C$13&lt;&gt;"",Creditos!$M$13="OK",14&lt;=Creditos!$H$13),Creditos!$N$13,"")</f>
        <v/>
      </c>
      <c r="H439" s="48" t="str">
        <f>IF(AND(Creditos!$C$13&lt;&gt;"",Creditos!$M$13="OK",14&lt;=Creditos!$H$13),ROUND(F439*G439,2),"")</f>
        <v/>
      </c>
      <c r="I439" s="48" t="str">
        <f>IF(AND(Creditos!$C$13&lt;&gt;"",Creditos!$M$13="OK",14&lt;=Creditos!$H$13),IF(14=Creditos!$H$13,F439+H439,MIN(Creditos!$O$13,F439+H439)),"")</f>
        <v/>
      </c>
      <c r="J439" s="48" t="str">
        <f>IF(AND(Creditos!$C$13&lt;&gt;"",Creditos!$M$13="OK",14&lt;=Creditos!$H$13),MIN(F439,MAX(0,I439-H439)),"")</f>
        <v/>
      </c>
      <c r="K439" s="48" t="str">
        <f>IF(AND(Creditos!$C$13&lt;&gt;"",Creditos!$M$13="OK",14&lt;=Creditos!$H$13),Creditos!$J$13+Creditos!$K$13,"")</f>
        <v/>
      </c>
      <c r="L439" s="48" t="str">
        <f>IF(AND(Creditos!$C$13&lt;&gt;"",Creditos!$M$13="OK",14&lt;=Creditos!$H$13),I439+K439,"")</f>
        <v/>
      </c>
      <c r="M439" s="48" t="str">
        <f>IF(AND(Creditos!$C$13&lt;&gt;"",Creditos!$M$13="OK",14&lt;=Creditos!$H$13),MAX(0,F439-J439),"")</f>
        <v/>
      </c>
      <c r="N439" s="48" t="str">
        <f>IF(AND(Creditos!$C$13&lt;&gt;"",Creditos!$M$13="OK",14&lt;=Creditos!$H$13),SUMIFS(Pagos!$F$6:$F$305,Pagos!$C$6:$C$305,C439,Pagos!$D$6:$D$305,D439,Pagos!$E$6:$E$305,"&lt;="&amp;Supuestos!$D$6,Pagos!$H$6:$H$305,"OK"),"")</f>
        <v/>
      </c>
      <c r="O439" s="48" t="str">
        <f>IF(AND(Creditos!$C$13&lt;&gt;"",Creditos!$M$13="OK",14&lt;=Creditos!$H$13),MIN(J439,MAX(0,N439-K439-H439)),"")</f>
        <v/>
      </c>
      <c r="P439" s="48" t="str">
        <f>IF(AND(Creditos!$C$13&lt;&gt;"",Creditos!$M$13="OK",14&lt;=Creditos!$H$13),MAX(0,L439-N439),"")</f>
        <v/>
      </c>
      <c r="Q439" s="50" t="str">
        <f>IF(AND(Creditos!$C$13&lt;&gt;"",Creditos!$M$13="OK",14&lt;=Creditos!$H$13),IF(AND(E439&lt;Supuestos!$D$6,P439&gt;0.005),Supuestos!$D$6-E439,0),"")</f>
        <v/>
      </c>
      <c r="R439" s="48" t="str">
        <f>IF(AND(Creditos!$C$13&lt;&gt;"",Creditos!$M$13="OK",14&lt;=Creditos!$H$13),MAX(0,N439-L439),"")</f>
        <v/>
      </c>
      <c r="S439" s="46" t="str">
        <f>IF(AND(Creditos!$C$13&lt;&gt;"",Creditos!$M$13="OK",14&lt;=Creditos!$H$13),IF(R439&gt;0.005,"Exceso sin imputar",IF(P439&lt;=0.005,"Pagada",IF(E439&lt;Supuestos!$D$6,"Vencida",IF(E439=Supuestos!$D$6,"Vence hoy","Por vencer")))),"")</f>
        <v/>
      </c>
      <c r="T439" s="46">
        <f>IF(AND(Creditos!$C$13&lt;&gt;"",Creditos!$M$13="OK",14&lt;=Creditos!$H$13),IF(P439&gt;0.005,E439,999999),999999)</f>
        <v>999999</v>
      </c>
    </row>
    <row r="440" ht="25.5" customHeight="1">
      <c r="C440" s="46" t="str">
        <f>IF(AND(Creditos!$C$13&lt;&gt;"",Creditos!$M$13="OK",15&lt;=Creditos!$H$13),Creditos!$C$13,"")</f>
        <v/>
      </c>
      <c r="D440" s="46" t="str">
        <f>IF(AND(Creditos!$C$13&lt;&gt;"",Creditos!$M$13="OK",15&lt;=Creditos!$H$13),15,"")</f>
        <v/>
      </c>
      <c r="E440" s="47" t="str">
        <f>IF(AND(Creditos!$C$13&lt;&gt;"",Creditos!$M$13="OK",15&lt;=Creditos!$H$13),EDATE(Creditos!$I$13,14),"")</f>
        <v/>
      </c>
      <c r="F440" s="48" t="str">
        <f>IF(AND(Creditos!$C$13&lt;&gt;"",Creditos!$M$13="OK",15&lt;=Creditos!$H$13),M439,"")</f>
        <v/>
      </c>
      <c r="G440" s="49" t="str">
        <f>IF(AND(Creditos!$C$13&lt;&gt;"",Creditos!$M$13="OK",15&lt;=Creditos!$H$13),Creditos!$N$13,"")</f>
        <v/>
      </c>
      <c r="H440" s="48" t="str">
        <f>IF(AND(Creditos!$C$13&lt;&gt;"",Creditos!$M$13="OK",15&lt;=Creditos!$H$13),ROUND(F440*G440,2),"")</f>
        <v/>
      </c>
      <c r="I440" s="48" t="str">
        <f>IF(AND(Creditos!$C$13&lt;&gt;"",Creditos!$M$13="OK",15&lt;=Creditos!$H$13),IF(15=Creditos!$H$13,F440+H440,MIN(Creditos!$O$13,F440+H440)),"")</f>
        <v/>
      </c>
      <c r="J440" s="48" t="str">
        <f>IF(AND(Creditos!$C$13&lt;&gt;"",Creditos!$M$13="OK",15&lt;=Creditos!$H$13),MIN(F440,MAX(0,I440-H440)),"")</f>
        <v/>
      </c>
      <c r="K440" s="48" t="str">
        <f>IF(AND(Creditos!$C$13&lt;&gt;"",Creditos!$M$13="OK",15&lt;=Creditos!$H$13),Creditos!$J$13+Creditos!$K$13,"")</f>
        <v/>
      </c>
      <c r="L440" s="48" t="str">
        <f>IF(AND(Creditos!$C$13&lt;&gt;"",Creditos!$M$13="OK",15&lt;=Creditos!$H$13),I440+K440,"")</f>
        <v/>
      </c>
      <c r="M440" s="48" t="str">
        <f>IF(AND(Creditos!$C$13&lt;&gt;"",Creditos!$M$13="OK",15&lt;=Creditos!$H$13),MAX(0,F440-J440),"")</f>
        <v/>
      </c>
      <c r="N440" s="48" t="str">
        <f>IF(AND(Creditos!$C$13&lt;&gt;"",Creditos!$M$13="OK",15&lt;=Creditos!$H$13),SUMIFS(Pagos!$F$6:$F$305,Pagos!$C$6:$C$305,C440,Pagos!$D$6:$D$305,D440,Pagos!$E$6:$E$305,"&lt;="&amp;Supuestos!$D$6,Pagos!$H$6:$H$305,"OK"),"")</f>
        <v/>
      </c>
      <c r="O440" s="48" t="str">
        <f>IF(AND(Creditos!$C$13&lt;&gt;"",Creditos!$M$13="OK",15&lt;=Creditos!$H$13),MIN(J440,MAX(0,N440-K440-H440)),"")</f>
        <v/>
      </c>
      <c r="P440" s="48" t="str">
        <f>IF(AND(Creditos!$C$13&lt;&gt;"",Creditos!$M$13="OK",15&lt;=Creditos!$H$13),MAX(0,L440-N440),"")</f>
        <v/>
      </c>
      <c r="Q440" s="50" t="str">
        <f>IF(AND(Creditos!$C$13&lt;&gt;"",Creditos!$M$13="OK",15&lt;=Creditos!$H$13),IF(AND(E440&lt;Supuestos!$D$6,P440&gt;0.005),Supuestos!$D$6-E440,0),"")</f>
        <v/>
      </c>
      <c r="R440" s="48" t="str">
        <f>IF(AND(Creditos!$C$13&lt;&gt;"",Creditos!$M$13="OK",15&lt;=Creditos!$H$13),MAX(0,N440-L440),"")</f>
        <v/>
      </c>
      <c r="S440" s="46" t="str">
        <f>IF(AND(Creditos!$C$13&lt;&gt;"",Creditos!$M$13="OK",15&lt;=Creditos!$H$13),IF(R440&gt;0.005,"Exceso sin imputar",IF(P440&lt;=0.005,"Pagada",IF(E440&lt;Supuestos!$D$6,"Vencida",IF(E440=Supuestos!$D$6,"Vence hoy","Por vencer")))),"")</f>
        <v/>
      </c>
      <c r="T440" s="46">
        <f>IF(AND(Creditos!$C$13&lt;&gt;"",Creditos!$M$13="OK",15&lt;=Creditos!$H$13),IF(P440&gt;0.005,E440,999999),999999)</f>
        <v>999999</v>
      </c>
    </row>
    <row r="441" ht="25.5" customHeight="1">
      <c r="C441" s="46" t="str">
        <f>IF(AND(Creditos!$C$13&lt;&gt;"",Creditos!$M$13="OK",16&lt;=Creditos!$H$13),Creditos!$C$13,"")</f>
        <v/>
      </c>
      <c r="D441" s="46" t="str">
        <f>IF(AND(Creditos!$C$13&lt;&gt;"",Creditos!$M$13="OK",16&lt;=Creditos!$H$13),16,"")</f>
        <v/>
      </c>
      <c r="E441" s="47" t="str">
        <f>IF(AND(Creditos!$C$13&lt;&gt;"",Creditos!$M$13="OK",16&lt;=Creditos!$H$13),EDATE(Creditos!$I$13,15),"")</f>
        <v/>
      </c>
      <c r="F441" s="48" t="str">
        <f>IF(AND(Creditos!$C$13&lt;&gt;"",Creditos!$M$13="OK",16&lt;=Creditos!$H$13),M440,"")</f>
        <v/>
      </c>
      <c r="G441" s="49" t="str">
        <f>IF(AND(Creditos!$C$13&lt;&gt;"",Creditos!$M$13="OK",16&lt;=Creditos!$H$13),Creditos!$N$13,"")</f>
        <v/>
      </c>
      <c r="H441" s="48" t="str">
        <f>IF(AND(Creditos!$C$13&lt;&gt;"",Creditos!$M$13="OK",16&lt;=Creditos!$H$13),ROUND(F441*G441,2),"")</f>
        <v/>
      </c>
      <c r="I441" s="48" t="str">
        <f>IF(AND(Creditos!$C$13&lt;&gt;"",Creditos!$M$13="OK",16&lt;=Creditos!$H$13),IF(16=Creditos!$H$13,F441+H441,MIN(Creditos!$O$13,F441+H441)),"")</f>
        <v/>
      </c>
      <c r="J441" s="48" t="str">
        <f>IF(AND(Creditos!$C$13&lt;&gt;"",Creditos!$M$13="OK",16&lt;=Creditos!$H$13),MIN(F441,MAX(0,I441-H441)),"")</f>
        <v/>
      </c>
      <c r="K441" s="48" t="str">
        <f>IF(AND(Creditos!$C$13&lt;&gt;"",Creditos!$M$13="OK",16&lt;=Creditos!$H$13),Creditos!$J$13+Creditos!$K$13,"")</f>
        <v/>
      </c>
      <c r="L441" s="48" t="str">
        <f>IF(AND(Creditos!$C$13&lt;&gt;"",Creditos!$M$13="OK",16&lt;=Creditos!$H$13),I441+K441,"")</f>
        <v/>
      </c>
      <c r="M441" s="48" t="str">
        <f>IF(AND(Creditos!$C$13&lt;&gt;"",Creditos!$M$13="OK",16&lt;=Creditos!$H$13),MAX(0,F441-J441),"")</f>
        <v/>
      </c>
      <c r="N441" s="48" t="str">
        <f>IF(AND(Creditos!$C$13&lt;&gt;"",Creditos!$M$13="OK",16&lt;=Creditos!$H$13),SUMIFS(Pagos!$F$6:$F$305,Pagos!$C$6:$C$305,C441,Pagos!$D$6:$D$305,D441,Pagos!$E$6:$E$305,"&lt;="&amp;Supuestos!$D$6,Pagos!$H$6:$H$305,"OK"),"")</f>
        <v/>
      </c>
      <c r="O441" s="48" t="str">
        <f>IF(AND(Creditos!$C$13&lt;&gt;"",Creditos!$M$13="OK",16&lt;=Creditos!$H$13),MIN(J441,MAX(0,N441-K441-H441)),"")</f>
        <v/>
      </c>
      <c r="P441" s="48" t="str">
        <f>IF(AND(Creditos!$C$13&lt;&gt;"",Creditos!$M$13="OK",16&lt;=Creditos!$H$13),MAX(0,L441-N441),"")</f>
        <v/>
      </c>
      <c r="Q441" s="50" t="str">
        <f>IF(AND(Creditos!$C$13&lt;&gt;"",Creditos!$M$13="OK",16&lt;=Creditos!$H$13),IF(AND(E441&lt;Supuestos!$D$6,P441&gt;0.005),Supuestos!$D$6-E441,0),"")</f>
        <v/>
      </c>
      <c r="R441" s="48" t="str">
        <f>IF(AND(Creditos!$C$13&lt;&gt;"",Creditos!$M$13="OK",16&lt;=Creditos!$H$13),MAX(0,N441-L441),"")</f>
        <v/>
      </c>
      <c r="S441" s="46" t="str">
        <f>IF(AND(Creditos!$C$13&lt;&gt;"",Creditos!$M$13="OK",16&lt;=Creditos!$H$13),IF(R441&gt;0.005,"Exceso sin imputar",IF(P441&lt;=0.005,"Pagada",IF(E441&lt;Supuestos!$D$6,"Vencida",IF(E441=Supuestos!$D$6,"Vence hoy","Por vencer")))),"")</f>
        <v/>
      </c>
      <c r="T441" s="46">
        <f>IF(AND(Creditos!$C$13&lt;&gt;"",Creditos!$M$13="OK",16&lt;=Creditos!$H$13),IF(P441&gt;0.005,E441,999999),999999)</f>
        <v>999999</v>
      </c>
    </row>
    <row r="442" ht="25.5" customHeight="1">
      <c r="C442" s="46" t="str">
        <f>IF(AND(Creditos!$C$13&lt;&gt;"",Creditos!$M$13="OK",17&lt;=Creditos!$H$13),Creditos!$C$13,"")</f>
        <v/>
      </c>
      <c r="D442" s="46" t="str">
        <f>IF(AND(Creditos!$C$13&lt;&gt;"",Creditos!$M$13="OK",17&lt;=Creditos!$H$13),17,"")</f>
        <v/>
      </c>
      <c r="E442" s="47" t="str">
        <f>IF(AND(Creditos!$C$13&lt;&gt;"",Creditos!$M$13="OK",17&lt;=Creditos!$H$13),EDATE(Creditos!$I$13,16),"")</f>
        <v/>
      </c>
      <c r="F442" s="48" t="str">
        <f>IF(AND(Creditos!$C$13&lt;&gt;"",Creditos!$M$13="OK",17&lt;=Creditos!$H$13),M441,"")</f>
        <v/>
      </c>
      <c r="G442" s="49" t="str">
        <f>IF(AND(Creditos!$C$13&lt;&gt;"",Creditos!$M$13="OK",17&lt;=Creditos!$H$13),Creditos!$N$13,"")</f>
        <v/>
      </c>
      <c r="H442" s="48" t="str">
        <f>IF(AND(Creditos!$C$13&lt;&gt;"",Creditos!$M$13="OK",17&lt;=Creditos!$H$13),ROUND(F442*G442,2),"")</f>
        <v/>
      </c>
      <c r="I442" s="48" t="str">
        <f>IF(AND(Creditos!$C$13&lt;&gt;"",Creditos!$M$13="OK",17&lt;=Creditos!$H$13),IF(17=Creditos!$H$13,F442+H442,MIN(Creditos!$O$13,F442+H442)),"")</f>
        <v/>
      </c>
      <c r="J442" s="48" t="str">
        <f>IF(AND(Creditos!$C$13&lt;&gt;"",Creditos!$M$13="OK",17&lt;=Creditos!$H$13),MIN(F442,MAX(0,I442-H442)),"")</f>
        <v/>
      </c>
      <c r="K442" s="48" t="str">
        <f>IF(AND(Creditos!$C$13&lt;&gt;"",Creditos!$M$13="OK",17&lt;=Creditos!$H$13),Creditos!$J$13+Creditos!$K$13,"")</f>
        <v/>
      </c>
      <c r="L442" s="48" t="str">
        <f>IF(AND(Creditos!$C$13&lt;&gt;"",Creditos!$M$13="OK",17&lt;=Creditos!$H$13),I442+K442,"")</f>
        <v/>
      </c>
      <c r="M442" s="48" t="str">
        <f>IF(AND(Creditos!$C$13&lt;&gt;"",Creditos!$M$13="OK",17&lt;=Creditos!$H$13),MAX(0,F442-J442),"")</f>
        <v/>
      </c>
      <c r="N442" s="48" t="str">
        <f>IF(AND(Creditos!$C$13&lt;&gt;"",Creditos!$M$13="OK",17&lt;=Creditos!$H$13),SUMIFS(Pagos!$F$6:$F$305,Pagos!$C$6:$C$305,C442,Pagos!$D$6:$D$305,D442,Pagos!$E$6:$E$305,"&lt;="&amp;Supuestos!$D$6,Pagos!$H$6:$H$305,"OK"),"")</f>
        <v/>
      </c>
      <c r="O442" s="48" t="str">
        <f>IF(AND(Creditos!$C$13&lt;&gt;"",Creditos!$M$13="OK",17&lt;=Creditos!$H$13),MIN(J442,MAX(0,N442-K442-H442)),"")</f>
        <v/>
      </c>
      <c r="P442" s="48" t="str">
        <f>IF(AND(Creditos!$C$13&lt;&gt;"",Creditos!$M$13="OK",17&lt;=Creditos!$H$13),MAX(0,L442-N442),"")</f>
        <v/>
      </c>
      <c r="Q442" s="50" t="str">
        <f>IF(AND(Creditos!$C$13&lt;&gt;"",Creditos!$M$13="OK",17&lt;=Creditos!$H$13),IF(AND(E442&lt;Supuestos!$D$6,P442&gt;0.005),Supuestos!$D$6-E442,0),"")</f>
        <v/>
      </c>
      <c r="R442" s="48" t="str">
        <f>IF(AND(Creditos!$C$13&lt;&gt;"",Creditos!$M$13="OK",17&lt;=Creditos!$H$13),MAX(0,N442-L442),"")</f>
        <v/>
      </c>
      <c r="S442" s="46" t="str">
        <f>IF(AND(Creditos!$C$13&lt;&gt;"",Creditos!$M$13="OK",17&lt;=Creditos!$H$13),IF(R442&gt;0.005,"Exceso sin imputar",IF(P442&lt;=0.005,"Pagada",IF(E442&lt;Supuestos!$D$6,"Vencida",IF(E442=Supuestos!$D$6,"Vence hoy","Por vencer")))),"")</f>
        <v/>
      </c>
      <c r="T442" s="46">
        <f>IF(AND(Creditos!$C$13&lt;&gt;"",Creditos!$M$13="OK",17&lt;=Creditos!$H$13),IF(P442&gt;0.005,E442,999999),999999)</f>
        <v>999999</v>
      </c>
    </row>
    <row r="443" ht="25.5" customHeight="1">
      <c r="C443" s="46" t="str">
        <f>IF(AND(Creditos!$C$13&lt;&gt;"",Creditos!$M$13="OK",18&lt;=Creditos!$H$13),Creditos!$C$13,"")</f>
        <v/>
      </c>
      <c r="D443" s="46" t="str">
        <f>IF(AND(Creditos!$C$13&lt;&gt;"",Creditos!$M$13="OK",18&lt;=Creditos!$H$13),18,"")</f>
        <v/>
      </c>
      <c r="E443" s="47" t="str">
        <f>IF(AND(Creditos!$C$13&lt;&gt;"",Creditos!$M$13="OK",18&lt;=Creditos!$H$13),EDATE(Creditos!$I$13,17),"")</f>
        <v/>
      </c>
      <c r="F443" s="48" t="str">
        <f>IF(AND(Creditos!$C$13&lt;&gt;"",Creditos!$M$13="OK",18&lt;=Creditos!$H$13),M442,"")</f>
        <v/>
      </c>
      <c r="G443" s="49" t="str">
        <f>IF(AND(Creditos!$C$13&lt;&gt;"",Creditos!$M$13="OK",18&lt;=Creditos!$H$13),Creditos!$N$13,"")</f>
        <v/>
      </c>
      <c r="H443" s="48" t="str">
        <f>IF(AND(Creditos!$C$13&lt;&gt;"",Creditos!$M$13="OK",18&lt;=Creditos!$H$13),ROUND(F443*G443,2),"")</f>
        <v/>
      </c>
      <c r="I443" s="48" t="str">
        <f>IF(AND(Creditos!$C$13&lt;&gt;"",Creditos!$M$13="OK",18&lt;=Creditos!$H$13),IF(18=Creditos!$H$13,F443+H443,MIN(Creditos!$O$13,F443+H443)),"")</f>
        <v/>
      </c>
      <c r="J443" s="48" t="str">
        <f>IF(AND(Creditos!$C$13&lt;&gt;"",Creditos!$M$13="OK",18&lt;=Creditos!$H$13),MIN(F443,MAX(0,I443-H443)),"")</f>
        <v/>
      </c>
      <c r="K443" s="48" t="str">
        <f>IF(AND(Creditos!$C$13&lt;&gt;"",Creditos!$M$13="OK",18&lt;=Creditos!$H$13),Creditos!$J$13+Creditos!$K$13,"")</f>
        <v/>
      </c>
      <c r="L443" s="48" t="str">
        <f>IF(AND(Creditos!$C$13&lt;&gt;"",Creditos!$M$13="OK",18&lt;=Creditos!$H$13),I443+K443,"")</f>
        <v/>
      </c>
      <c r="M443" s="48" t="str">
        <f>IF(AND(Creditos!$C$13&lt;&gt;"",Creditos!$M$13="OK",18&lt;=Creditos!$H$13),MAX(0,F443-J443),"")</f>
        <v/>
      </c>
      <c r="N443" s="48" t="str">
        <f>IF(AND(Creditos!$C$13&lt;&gt;"",Creditos!$M$13="OK",18&lt;=Creditos!$H$13),SUMIFS(Pagos!$F$6:$F$305,Pagos!$C$6:$C$305,C443,Pagos!$D$6:$D$305,D443,Pagos!$E$6:$E$305,"&lt;="&amp;Supuestos!$D$6,Pagos!$H$6:$H$305,"OK"),"")</f>
        <v/>
      </c>
      <c r="O443" s="48" t="str">
        <f>IF(AND(Creditos!$C$13&lt;&gt;"",Creditos!$M$13="OK",18&lt;=Creditos!$H$13),MIN(J443,MAX(0,N443-K443-H443)),"")</f>
        <v/>
      </c>
      <c r="P443" s="48" t="str">
        <f>IF(AND(Creditos!$C$13&lt;&gt;"",Creditos!$M$13="OK",18&lt;=Creditos!$H$13),MAX(0,L443-N443),"")</f>
        <v/>
      </c>
      <c r="Q443" s="50" t="str">
        <f>IF(AND(Creditos!$C$13&lt;&gt;"",Creditos!$M$13="OK",18&lt;=Creditos!$H$13),IF(AND(E443&lt;Supuestos!$D$6,P443&gt;0.005),Supuestos!$D$6-E443,0),"")</f>
        <v/>
      </c>
      <c r="R443" s="48" t="str">
        <f>IF(AND(Creditos!$C$13&lt;&gt;"",Creditos!$M$13="OK",18&lt;=Creditos!$H$13),MAX(0,N443-L443),"")</f>
        <v/>
      </c>
      <c r="S443" s="46" t="str">
        <f>IF(AND(Creditos!$C$13&lt;&gt;"",Creditos!$M$13="OK",18&lt;=Creditos!$H$13),IF(R443&gt;0.005,"Exceso sin imputar",IF(P443&lt;=0.005,"Pagada",IF(E443&lt;Supuestos!$D$6,"Vencida",IF(E443=Supuestos!$D$6,"Vence hoy","Por vencer")))),"")</f>
        <v/>
      </c>
      <c r="T443" s="46">
        <f>IF(AND(Creditos!$C$13&lt;&gt;"",Creditos!$M$13="OK",18&lt;=Creditos!$H$13),IF(P443&gt;0.005,E443,999999),999999)</f>
        <v>999999</v>
      </c>
    </row>
    <row r="444" ht="25.5" customHeight="1">
      <c r="C444" s="46" t="str">
        <f>IF(AND(Creditos!$C$13&lt;&gt;"",Creditos!$M$13="OK",19&lt;=Creditos!$H$13),Creditos!$C$13,"")</f>
        <v/>
      </c>
      <c r="D444" s="46" t="str">
        <f>IF(AND(Creditos!$C$13&lt;&gt;"",Creditos!$M$13="OK",19&lt;=Creditos!$H$13),19,"")</f>
        <v/>
      </c>
      <c r="E444" s="47" t="str">
        <f>IF(AND(Creditos!$C$13&lt;&gt;"",Creditos!$M$13="OK",19&lt;=Creditos!$H$13),EDATE(Creditos!$I$13,18),"")</f>
        <v/>
      </c>
      <c r="F444" s="48" t="str">
        <f>IF(AND(Creditos!$C$13&lt;&gt;"",Creditos!$M$13="OK",19&lt;=Creditos!$H$13),M443,"")</f>
        <v/>
      </c>
      <c r="G444" s="49" t="str">
        <f>IF(AND(Creditos!$C$13&lt;&gt;"",Creditos!$M$13="OK",19&lt;=Creditos!$H$13),Creditos!$N$13,"")</f>
        <v/>
      </c>
      <c r="H444" s="48" t="str">
        <f>IF(AND(Creditos!$C$13&lt;&gt;"",Creditos!$M$13="OK",19&lt;=Creditos!$H$13),ROUND(F444*G444,2),"")</f>
        <v/>
      </c>
      <c r="I444" s="48" t="str">
        <f>IF(AND(Creditos!$C$13&lt;&gt;"",Creditos!$M$13="OK",19&lt;=Creditos!$H$13),IF(19=Creditos!$H$13,F444+H444,MIN(Creditos!$O$13,F444+H444)),"")</f>
        <v/>
      </c>
      <c r="J444" s="48" t="str">
        <f>IF(AND(Creditos!$C$13&lt;&gt;"",Creditos!$M$13="OK",19&lt;=Creditos!$H$13),MIN(F444,MAX(0,I444-H444)),"")</f>
        <v/>
      </c>
      <c r="K444" s="48" t="str">
        <f>IF(AND(Creditos!$C$13&lt;&gt;"",Creditos!$M$13="OK",19&lt;=Creditos!$H$13),Creditos!$J$13+Creditos!$K$13,"")</f>
        <v/>
      </c>
      <c r="L444" s="48" t="str">
        <f>IF(AND(Creditos!$C$13&lt;&gt;"",Creditos!$M$13="OK",19&lt;=Creditos!$H$13),I444+K444,"")</f>
        <v/>
      </c>
      <c r="M444" s="48" t="str">
        <f>IF(AND(Creditos!$C$13&lt;&gt;"",Creditos!$M$13="OK",19&lt;=Creditos!$H$13),MAX(0,F444-J444),"")</f>
        <v/>
      </c>
      <c r="N444" s="48" t="str">
        <f>IF(AND(Creditos!$C$13&lt;&gt;"",Creditos!$M$13="OK",19&lt;=Creditos!$H$13),SUMIFS(Pagos!$F$6:$F$305,Pagos!$C$6:$C$305,C444,Pagos!$D$6:$D$305,D444,Pagos!$E$6:$E$305,"&lt;="&amp;Supuestos!$D$6,Pagos!$H$6:$H$305,"OK"),"")</f>
        <v/>
      </c>
      <c r="O444" s="48" t="str">
        <f>IF(AND(Creditos!$C$13&lt;&gt;"",Creditos!$M$13="OK",19&lt;=Creditos!$H$13),MIN(J444,MAX(0,N444-K444-H444)),"")</f>
        <v/>
      </c>
      <c r="P444" s="48" t="str">
        <f>IF(AND(Creditos!$C$13&lt;&gt;"",Creditos!$M$13="OK",19&lt;=Creditos!$H$13),MAX(0,L444-N444),"")</f>
        <v/>
      </c>
      <c r="Q444" s="50" t="str">
        <f>IF(AND(Creditos!$C$13&lt;&gt;"",Creditos!$M$13="OK",19&lt;=Creditos!$H$13),IF(AND(E444&lt;Supuestos!$D$6,P444&gt;0.005),Supuestos!$D$6-E444,0),"")</f>
        <v/>
      </c>
      <c r="R444" s="48" t="str">
        <f>IF(AND(Creditos!$C$13&lt;&gt;"",Creditos!$M$13="OK",19&lt;=Creditos!$H$13),MAX(0,N444-L444),"")</f>
        <v/>
      </c>
      <c r="S444" s="46" t="str">
        <f>IF(AND(Creditos!$C$13&lt;&gt;"",Creditos!$M$13="OK",19&lt;=Creditos!$H$13),IF(R444&gt;0.005,"Exceso sin imputar",IF(P444&lt;=0.005,"Pagada",IF(E444&lt;Supuestos!$D$6,"Vencida",IF(E444=Supuestos!$D$6,"Vence hoy","Por vencer")))),"")</f>
        <v/>
      </c>
      <c r="T444" s="46">
        <f>IF(AND(Creditos!$C$13&lt;&gt;"",Creditos!$M$13="OK",19&lt;=Creditos!$H$13),IF(P444&gt;0.005,E444,999999),999999)</f>
        <v>999999</v>
      </c>
    </row>
    <row r="445" ht="25.5" customHeight="1">
      <c r="C445" s="46" t="str">
        <f>IF(AND(Creditos!$C$13&lt;&gt;"",Creditos!$M$13="OK",20&lt;=Creditos!$H$13),Creditos!$C$13,"")</f>
        <v/>
      </c>
      <c r="D445" s="46" t="str">
        <f>IF(AND(Creditos!$C$13&lt;&gt;"",Creditos!$M$13="OK",20&lt;=Creditos!$H$13),20,"")</f>
        <v/>
      </c>
      <c r="E445" s="47" t="str">
        <f>IF(AND(Creditos!$C$13&lt;&gt;"",Creditos!$M$13="OK",20&lt;=Creditos!$H$13),EDATE(Creditos!$I$13,19),"")</f>
        <v/>
      </c>
      <c r="F445" s="48" t="str">
        <f>IF(AND(Creditos!$C$13&lt;&gt;"",Creditos!$M$13="OK",20&lt;=Creditos!$H$13),M444,"")</f>
        <v/>
      </c>
      <c r="G445" s="49" t="str">
        <f>IF(AND(Creditos!$C$13&lt;&gt;"",Creditos!$M$13="OK",20&lt;=Creditos!$H$13),Creditos!$N$13,"")</f>
        <v/>
      </c>
      <c r="H445" s="48" t="str">
        <f>IF(AND(Creditos!$C$13&lt;&gt;"",Creditos!$M$13="OK",20&lt;=Creditos!$H$13),ROUND(F445*G445,2),"")</f>
        <v/>
      </c>
      <c r="I445" s="48" t="str">
        <f>IF(AND(Creditos!$C$13&lt;&gt;"",Creditos!$M$13="OK",20&lt;=Creditos!$H$13),IF(20=Creditos!$H$13,F445+H445,MIN(Creditos!$O$13,F445+H445)),"")</f>
        <v/>
      </c>
      <c r="J445" s="48" t="str">
        <f>IF(AND(Creditos!$C$13&lt;&gt;"",Creditos!$M$13="OK",20&lt;=Creditos!$H$13),MIN(F445,MAX(0,I445-H445)),"")</f>
        <v/>
      </c>
      <c r="K445" s="48" t="str">
        <f>IF(AND(Creditos!$C$13&lt;&gt;"",Creditos!$M$13="OK",20&lt;=Creditos!$H$13),Creditos!$J$13+Creditos!$K$13,"")</f>
        <v/>
      </c>
      <c r="L445" s="48" t="str">
        <f>IF(AND(Creditos!$C$13&lt;&gt;"",Creditos!$M$13="OK",20&lt;=Creditos!$H$13),I445+K445,"")</f>
        <v/>
      </c>
      <c r="M445" s="48" t="str">
        <f>IF(AND(Creditos!$C$13&lt;&gt;"",Creditos!$M$13="OK",20&lt;=Creditos!$H$13),MAX(0,F445-J445),"")</f>
        <v/>
      </c>
      <c r="N445" s="48" t="str">
        <f>IF(AND(Creditos!$C$13&lt;&gt;"",Creditos!$M$13="OK",20&lt;=Creditos!$H$13),SUMIFS(Pagos!$F$6:$F$305,Pagos!$C$6:$C$305,C445,Pagos!$D$6:$D$305,D445,Pagos!$E$6:$E$305,"&lt;="&amp;Supuestos!$D$6,Pagos!$H$6:$H$305,"OK"),"")</f>
        <v/>
      </c>
      <c r="O445" s="48" t="str">
        <f>IF(AND(Creditos!$C$13&lt;&gt;"",Creditos!$M$13="OK",20&lt;=Creditos!$H$13),MIN(J445,MAX(0,N445-K445-H445)),"")</f>
        <v/>
      </c>
      <c r="P445" s="48" t="str">
        <f>IF(AND(Creditos!$C$13&lt;&gt;"",Creditos!$M$13="OK",20&lt;=Creditos!$H$13),MAX(0,L445-N445),"")</f>
        <v/>
      </c>
      <c r="Q445" s="50" t="str">
        <f>IF(AND(Creditos!$C$13&lt;&gt;"",Creditos!$M$13="OK",20&lt;=Creditos!$H$13),IF(AND(E445&lt;Supuestos!$D$6,P445&gt;0.005),Supuestos!$D$6-E445,0),"")</f>
        <v/>
      </c>
      <c r="R445" s="48" t="str">
        <f>IF(AND(Creditos!$C$13&lt;&gt;"",Creditos!$M$13="OK",20&lt;=Creditos!$H$13),MAX(0,N445-L445),"")</f>
        <v/>
      </c>
      <c r="S445" s="46" t="str">
        <f>IF(AND(Creditos!$C$13&lt;&gt;"",Creditos!$M$13="OK",20&lt;=Creditos!$H$13),IF(R445&gt;0.005,"Exceso sin imputar",IF(P445&lt;=0.005,"Pagada",IF(E445&lt;Supuestos!$D$6,"Vencida",IF(E445=Supuestos!$D$6,"Vence hoy","Por vencer")))),"")</f>
        <v/>
      </c>
      <c r="T445" s="46">
        <f>IF(AND(Creditos!$C$13&lt;&gt;"",Creditos!$M$13="OK",20&lt;=Creditos!$H$13),IF(P445&gt;0.005,E445,999999),999999)</f>
        <v>999999</v>
      </c>
    </row>
    <row r="446" ht="25.5" customHeight="1">
      <c r="C446" s="46" t="str">
        <f>IF(AND(Creditos!$C$13&lt;&gt;"",Creditos!$M$13="OK",21&lt;=Creditos!$H$13),Creditos!$C$13,"")</f>
        <v/>
      </c>
      <c r="D446" s="46" t="str">
        <f>IF(AND(Creditos!$C$13&lt;&gt;"",Creditos!$M$13="OK",21&lt;=Creditos!$H$13),21,"")</f>
        <v/>
      </c>
      <c r="E446" s="47" t="str">
        <f>IF(AND(Creditos!$C$13&lt;&gt;"",Creditos!$M$13="OK",21&lt;=Creditos!$H$13),EDATE(Creditos!$I$13,20),"")</f>
        <v/>
      </c>
      <c r="F446" s="48" t="str">
        <f>IF(AND(Creditos!$C$13&lt;&gt;"",Creditos!$M$13="OK",21&lt;=Creditos!$H$13),M445,"")</f>
        <v/>
      </c>
      <c r="G446" s="49" t="str">
        <f>IF(AND(Creditos!$C$13&lt;&gt;"",Creditos!$M$13="OK",21&lt;=Creditos!$H$13),Creditos!$N$13,"")</f>
        <v/>
      </c>
      <c r="H446" s="48" t="str">
        <f>IF(AND(Creditos!$C$13&lt;&gt;"",Creditos!$M$13="OK",21&lt;=Creditos!$H$13),ROUND(F446*G446,2),"")</f>
        <v/>
      </c>
      <c r="I446" s="48" t="str">
        <f>IF(AND(Creditos!$C$13&lt;&gt;"",Creditos!$M$13="OK",21&lt;=Creditos!$H$13),IF(21=Creditos!$H$13,F446+H446,MIN(Creditos!$O$13,F446+H446)),"")</f>
        <v/>
      </c>
      <c r="J446" s="48" t="str">
        <f>IF(AND(Creditos!$C$13&lt;&gt;"",Creditos!$M$13="OK",21&lt;=Creditos!$H$13),MIN(F446,MAX(0,I446-H446)),"")</f>
        <v/>
      </c>
      <c r="K446" s="48" t="str">
        <f>IF(AND(Creditos!$C$13&lt;&gt;"",Creditos!$M$13="OK",21&lt;=Creditos!$H$13),Creditos!$J$13+Creditos!$K$13,"")</f>
        <v/>
      </c>
      <c r="L446" s="48" t="str">
        <f>IF(AND(Creditos!$C$13&lt;&gt;"",Creditos!$M$13="OK",21&lt;=Creditos!$H$13),I446+K446,"")</f>
        <v/>
      </c>
      <c r="M446" s="48" t="str">
        <f>IF(AND(Creditos!$C$13&lt;&gt;"",Creditos!$M$13="OK",21&lt;=Creditos!$H$13),MAX(0,F446-J446),"")</f>
        <v/>
      </c>
      <c r="N446" s="48" t="str">
        <f>IF(AND(Creditos!$C$13&lt;&gt;"",Creditos!$M$13="OK",21&lt;=Creditos!$H$13),SUMIFS(Pagos!$F$6:$F$305,Pagos!$C$6:$C$305,C446,Pagos!$D$6:$D$305,D446,Pagos!$E$6:$E$305,"&lt;="&amp;Supuestos!$D$6,Pagos!$H$6:$H$305,"OK"),"")</f>
        <v/>
      </c>
      <c r="O446" s="48" t="str">
        <f>IF(AND(Creditos!$C$13&lt;&gt;"",Creditos!$M$13="OK",21&lt;=Creditos!$H$13),MIN(J446,MAX(0,N446-K446-H446)),"")</f>
        <v/>
      </c>
      <c r="P446" s="48" t="str">
        <f>IF(AND(Creditos!$C$13&lt;&gt;"",Creditos!$M$13="OK",21&lt;=Creditos!$H$13),MAX(0,L446-N446),"")</f>
        <v/>
      </c>
      <c r="Q446" s="50" t="str">
        <f>IF(AND(Creditos!$C$13&lt;&gt;"",Creditos!$M$13="OK",21&lt;=Creditos!$H$13),IF(AND(E446&lt;Supuestos!$D$6,P446&gt;0.005),Supuestos!$D$6-E446,0),"")</f>
        <v/>
      </c>
      <c r="R446" s="48" t="str">
        <f>IF(AND(Creditos!$C$13&lt;&gt;"",Creditos!$M$13="OK",21&lt;=Creditos!$H$13),MAX(0,N446-L446),"")</f>
        <v/>
      </c>
      <c r="S446" s="46" t="str">
        <f>IF(AND(Creditos!$C$13&lt;&gt;"",Creditos!$M$13="OK",21&lt;=Creditos!$H$13),IF(R446&gt;0.005,"Exceso sin imputar",IF(P446&lt;=0.005,"Pagada",IF(E446&lt;Supuestos!$D$6,"Vencida",IF(E446=Supuestos!$D$6,"Vence hoy","Por vencer")))),"")</f>
        <v/>
      </c>
      <c r="T446" s="46">
        <f>IF(AND(Creditos!$C$13&lt;&gt;"",Creditos!$M$13="OK",21&lt;=Creditos!$H$13),IF(P446&gt;0.005,E446,999999),999999)</f>
        <v>999999</v>
      </c>
    </row>
    <row r="447" ht="25.5" customHeight="1">
      <c r="C447" s="46" t="str">
        <f>IF(AND(Creditos!$C$13&lt;&gt;"",Creditos!$M$13="OK",22&lt;=Creditos!$H$13),Creditos!$C$13,"")</f>
        <v/>
      </c>
      <c r="D447" s="46" t="str">
        <f>IF(AND(Creditos!$C$13&lt;&gt;"",Creditos!$M$13="OK",22&lt;=Creditos!$H$13),22,"")</f>
        <v/>
      </c>
      <c r="E447" s="47" t="str">
        <f>IF(AND(Creditos!$C$13&lt;&gt;"",Creditos!$M$13="OK",22&lt;=Creditos!$H$13),EDATE(Creditos!$I$13,21),"")</f>
        <v/>
      </c>
      <c r="F447" s="48" t="str">
        <f>IF(AND(Creditos!$C$13&lt;&gt;"",Creditos!$M$13="OK",22&lt;=Creditos!$H$13),M446,"")</f>
        <v/>
      </c>
      <c r="G447" s="49" t="str">
        <f>IF(AND(Creditos!$C$13&lt;&gt;"",Creditos!$M$13="OK",22&lt;=Creditos!$H$13),Creditos!$N$13,"")</f>
        <v/>
      </c>
      <c r="H447" s="48" t="str">
        <f>IF(AND(Creditos!$C$13&lt;&gt;"",Creditos!$M$13="OK",22&lt;=Creditos!$H$13),ROUND(F447*G447,2),"")</f>
        <v/>
      </c>
      <c r="I447" s="48" t="str">
        <f>IF(AND(Creditos!$C$13&lt;&gt;"",Creditos!$M$13="OK",22&lt;=Creditos!$H$13),IF(22=Creditos!$H$13,F447+H447,MIN(Creditos!$O$13,F447+H447)),"")</f>
        <v/>
      </c>
      <c r="J447" s="48" t="str">
        <f>IF(AND(Creditos!$C$13&lt;&gt;"",Creditos!$M$13="OK",22&lt;=Creditos!$H$13),MIN(F447,MAX(0,I447-H447)),"")</f>
        <v/>
      </c>
      <c r="K447" s="48" t="str">
        <f>IF(AND(Creditos!$C$13&lt;&gt;"",Creditos!$M$13="OK",22&lt;=Creditos!$H$13),Creditos!$J$13+Creditos!$K$13,"")</f>
        <v/>
      </c>
      <c r="L447" s="48" t="str">
        <f>IF(AND(Creditos!$C$13&lt;&gt;"",Creditos!$M$13="OK",22&lt;=Creditos!$H$13),I447+K447,"")</f>
        <v/>
      </c>
      <c r="M447" s="48" t="str">
        <f>IF(AND(Creditos!$C$13&lt;&gt;"",Creditos!$M$13="OK",22&lt;=Creditos!$H$13),MAX(0,F447-J447),"")</f>
        <v/>
      </c>
      <c r="N447" s="48" t="str">
        <f>IF(AND(Creditos!$C$13&lt;&gt;"",Creditos!$M$13="OK",22&lt;=Creditos!$H$13),SUMIFS(Pagos!$F$6:$F$305,Pagos!$C$6:$C$305,C447,Pagos!$D$6:$D$305,D447,Pagos!$E$6:$E$305,"&lt;="&amp;Supuestos!$D$6,Pagos!$H$6:$H$305,"OK"),"")</f>
        <v/>
      </c>
      <c r="O447" s="48" t="str">
        <f>IF(AND(Creditos!$C$13&lt;&gt;"",Creditos!$M$13="OK",22&lt;=Creditos!$H$13),MIN(J447,MAX(0,N447-K447-H447)),"")</f>
        <v/>
      </c>
      <c r="P447" s="48" t="str">
        <f>IF(AND(Creditos!$C$13&lt;&gt;"",Creditos!$M$13="OK",22&lt;=Creditos!$H$13),MAX(0,L447-N447),"")</f>
        <v/>
      </c>
      <c r="Q447" s="50" t="str">
        <f>IF(AND(Creditos!$C$13&lt;&gt;"",Creditos!$M$13="OK",22&lt;=Creditos!$H$13),IF(AND(E447&lt;Supuestos!$D$6,P447&gt;0.005),Supuestos!$D$6-E447,0),"")</f>
        <v/>
      </c>
      <c r="R447" s="48" t="str">
        <f>IF(AND(Creditos!$C$13&lt;&gt;"",Creditos!$M$13="OK",22&lt;=Creditos!$H$13),MAX(0,N447-L447),"")</f>
        <v/>
      </c>
      <c r="S447" s="46" t="str">
        <f>IF(AND(Creditos!$C$13&lt;&gt;"",Creditos!$M$13="OK",22&lt;=Creditos!$H$13),IF(R447&gt;0.005,"Exceso sin imputar",IF(P447&lt;=0.005,"Pagada",IF(E447&lt;Supuestos!$D$6,"Vencida",IF(E447=Supuestos!$D$6,"Vence hoy","Por vencer")))),"")</f>
        <v/>
      </c>
      <c r="T447" s="46">
        <f>IF(AND(Creditos!$C$13&lt;&gt;"",Creditos!$M$13="OK",22&lt;=Creditos!$H$13),IF(P447&gt;0.005,E447,999999),999999)</f>
        <v>999999</v>
      </c>
    </row>
    <row r="448" ht="25.5" customHeight="1">
      <c r="C448" s="46" t="str">
        <f>IF(AND(Creditos!$C$13&lt;&gt;"",Creditos!$M$13="OK",23&lt;=Creditos!$H$13),Creditos!$C$13,"")</f>
        <v/>
      </c>
      <c r="D448" s="46" t="str">
        <f>IF(AND(Creditos!$C$13&lt;&gt;"",Creditos!$M$13="OK",23&lt;=Creditos!$H$13),23,"")</f>
        <v/>
      </c>
      <c r="E448" s="47" t="str">
        <f>IF(AND(Creditos!$C$13&lt;&gt;"",Creditos!$M$13="OK",23&lt;=Creditos!$H$13),EDATE(Creditos!$I$13,22),"")</f>
        <v/>
      </c>
      <c r="F448" s="48" t="str">
        <f>IF(AND(Creditos!$C$13&lt;&gt;"",Creditos!$M$13="OK",23&lt;=Creditos!$H$13),M447,"")</f>
        <v/>
      </c>
      <c r="G448" s="49" t="str">
        <f>IF(AND(Creditos!$C$13&lt;&gt;"",Creditos!$M$13="OK",23&lt;=Creditos!$H$13),Creditos!$N$13,"")</f>
        <v/>
      </c>
      <c r="H448" s="48" t="str">
        <f>IF(AND(Creditos!$C$13&lt;&gt;"",Creditos!$M$13="OK",23&lt;=Creditos!$H$13),ROUND(F448*G448,2),"")</f>
        <v/>
      </c>
      <c r="I448" s="48" t="str">
        <f>IF(AND(Creditos!$C$13&lt;&gt;"",Creditos!$M$13="OK",23&lt;=Creditos!$H$13),IF(23=Creditos!$H$13,F448+H448,MIN(Creditos!$O$13,F448+H448)),"")</f>
        <v/>
      </c>
      <c r="J448" s="48" t="str">
        <f>IF(AND(Creditos!$C$13&lt;&gt;"",Creditos!$M$13="OK",23&lt;=Creditos!$H$13),MIN(F448,MAX(0,I448-H448)),"")</f>
        <v/>
      </c>
      <c r="K448" s="48" t="str">
        <f>IF(AND(Creditos!$C$13&lt;&gt;"",Creditos!$M$13="OK",23&lt;=Creditos!$H$13),Creditos!$J$13+Creditos!$K$13,"")</f>
        <v/>
      </c>
      <c r="L448" s="48" t="str">
        <f>IF(AND(Creditos!$C$13&lt;&gt;"",Creditos!$M$13="OK",23&lt;=Creditos!$H$13),I448+K448,"")</f>
        <v/>
      </c>
      <c r="M448" s="48" t="str">
        <f>IF(AND(Creditos!$C$13&lt;&gt;"",Creditos!$M$13="OK",23&lt;=Creditos!$H$13),MAX(0,F448-J448),"")</f>
        <v/>
      </c>
      <c r="N448" s="48" t="str">
        <f>IF(AND(Creditos!$C$13&lt;&gt;"",Creditos!$M$13="OK",23&lt;=Creditos!$H$13),SUMIFS(Pagos!$F$6:$F$305,Pagos!$C$6:$C$305,C448,Pagos!$D$6:$D$305,D448,Pagos!$E$6:$E$305,"&lt;="&amp;Supuestos!$D$6,Pagos!$H$6:$H$305,"OK"),"")</f>
        <v/>
      </c>
      <c r="O448" s="48" t="str">
        <f>IF(AND(Creditos!$C$13&lt;&gt;"",Creditos!$M$13="OK",23&lt;=Creditos!$H$13),MIN(J448,MAX(0,N448-K448-H448)),"")</f>
        <v/>
      </c>
      <c r="P448" s="48" t="str">
        <f>IF(AND(Creditos!$C$13&lt;&gt;"",Creditos!$M$13="OK",23&lt;=Creditos!$H$13),MAX(0,L448-N448),"")</f>
        <v/>
      </c>
      <c r="Q448" s="50" t="str">
        <f>IF(AND(Creditos!$C$13&lt;&gt;"",Creditos!$M$13="OK",23&lt;=Creditos!$H$13),IF(AND(E448&lt;Supuestos!$D$6,P448&gt;0.005),Supuestos!$D$6-E448,0),"")</f>
        <v/>
      </c>
      <c r="R448" s="48" t="str">
        <f>IF(AND(Creditos!$C$13&lt;&gt;"",Creditos!$M$13="OK",23&lt;=Creditos!$H$13),MAX(0,N448-L448),"")</f>
        <v/>
      </c>
      <c r="S448" s="46" t="str">
        <f>IF(AND(Creditos!$C$13&lt;&gt;"",Creditos!$M$13="OK",23&lt;=Creditos!$H$13),IF(R448&gt;0.005,"Exceso sin imputar",IF(P448&lt;=0.005,"Pagada",IF(E448&lt;Supuestos!$D$6,"Vencida",IF(E448=Supuestos!$D$6,"Vence hoy","Por vencer")))),"")</f>
        <v/>
      </c>
      <c r="T448" s="46">
        <f>IF(AND(Creditos!$C$13&lt;&gt;"",Creditos!$M$13="OK",23&lt;=Creditos!$H$13),IF(P448&gt;0.005,E448,999999),999999)</f>
        <v>999999</v>
      </c>
    </row>
    <row r="449" ht="25.5" customHeight="1">
      <c r="C449" s="46" t="str">
        <f>IF(AND(Creditos!$C$13&lt;&gt;"",Creditos!$M$13="OK",24&lt;=Creditos!$H$13),Creditos!$C$13,"")</f>
        <v/>
      </c>
      <c r="D449" s="46" t="str">
        <f>IF(AND(Creditos!$C$13&lt;&gt;"",Creditos!$M$13="OK",24&lt;=Creditos!$H$13),24,"")</f>
        <v/>
      </c>
      <c r="E449" s="47" t="str">
        <f>IF(AND(Creditos!$C$13&lt;&gt;"",Creditos!$M$13="OK",24&lt;=Creditos!$H$13),EDATE(Creditos!$I$13,23),"")</f>
        <v/>
      </c>
      <c r="F449" s="48" t="str">
        <f>IF(AND(Creditos!$C$13&lt;&gt;"",Creditos!$M$13="OK",24&lt;=Creditos!$H$13),M448,"")</f>
        <v/>
      </c>
      <c r="G449" s="49" t="str">
        <f>IF(AND(Creditos!$C$13&lt;&gt;"",Creditos!$M$13="OK",24&lt;=Creditos!$H$13),Creditos!$N$13,"")</f>
        <v/>
      </c>
      <c r="H449" s="48" t="str">
        <f>IF(AND(Creditos!$C$13&lt;&gt;"",Creditos!$M$13="OK",24&lt;=Creditos!$H$13),ROUND(F449*G449,2),"")</f>
        <v/>
      </c>
      <c r="I449" s="48" t="str">
        <f>IF(AND(Creditos!$C$13&lt;&gt;"",Creditos!$M$13="OK",24&lt;=Creditos!$H$13),IF(24=Creditos!$H$13,F449+H449,MIN(Creditos!$O$13,F449+H449)),"")</f>
        <v/>
      </c>
      <c r="J449" s="48" t="str">
        <f>IF(AND(Creditos!$C$13&lt;&gt;"",Creditos!$M$13="OK",24&lt;=Creditos!$H$13),MIN(F449,MAX(0,I449-H449)),"")</f>
        <v/>
      </c>
      <c r="K449" s="48" t="str">
        <f>IF(AND(Creditos!$C$13&lt;&gt;"",Creditos!$M$13="OK",24&lt;=Creditos!$H$13),Creditos!$J$13+Creditos!$K$13,"")</f>
        <v/>
      </c>
      <c r="L449" s="48" t="str">
        <f>IF(AND(Creditos!$C$13&lt;&gt;"",Creditos!$M$13="OK",24&lt;=Creditos!$H$13),I449+K449,"")</f>
        <v/>
      </c>
      <c r="M449" s="48" t="str">
        <f>IF(AND(Creditos!$C$13&lt;&gt;"",Creditos!$M$13="OK",24&lt;=Creditos!$H$13),MAX(0,F449-J449),"")</f>
        <v/>
      </c>
      <c r="N449" s="48" t="str">
        <f>IF(AND(Creditos!$C$13&lt;&gt;"",Creditos!$M$13="OK",24&lt;=Creditos!$H$13),SUMIFS(Pagos!$F$6:$F$305,Pagos!$C$6:$C$305,C449,Pagos!$D$6:$D$305,D449,Pagos!$E$6:$E$305,"&lt;="&amp;Supuestos!$D$6,Pagos!$H$6:$H$305,"OK"),"")</f>
        <v/>
      </c>
      <c r="O449" s="48" t="str">
        <f>IF(AND(Creditos!$C$13&lt;&gt;"",Creditos!$M$13="OK",24&lt;=Creditos!$H$13),MIN(J449,MAX(0,N449-K449-H449)),"")</f>
        <v/>
      </c>
      <c r="P449" s="48" t="str">
        <f>IF(AND(Creditos!$C$13&lt;&gt;"",Creditos!$M$13="OK",24&lt;=Creditos!$H$13),MAX(0,L449-N449),"")</f>
        <v/>
      </c>
      <c r="Q449" s="50" t="str">
        <f>IF(AND(Creditos!$C$13&lt;&gt;"",Creditos!$M$13="OK",24&lt;=Creditos!$H$13),IF(AND(E449&lt;Supuestos!$D$6,P449&gt;0.005),Supuestos!$D$6-E449,0),"")</f>
        <v/>
      </c>
      <c r="R449" s="48" t="str">
        <f>IF(AND(Creditos!$C$13&lt;&gt;"",Creditos!$M$13="OK",24&lt;=Creditos!$H$13),MAX(0,N449-L449),"")</f>
        <v/>
      </c>
      <c r="S449" s="46" t="str">
        <f>IF(AND(Creditos!$C$13&lt;&gt;"",Creditos!$M$13="OK",24&lt;=Creditos!$H$13),IF(R449&gt;0.005,"Exceso sin imputar",IF(P449&lt;=0.005,"Pagada",IF(E449&lt;Supuestos!$D$6,"Vencida",IF(E449=Supuestos!$D$6,"Vence hoy","Por vencer")))),"")</f>
        <v/>
      </c>
      <c r="T449" s="46">
        <f>IF(AND(Creditos!$C$13&lt;&gt;"",Creditos!$M$13="OK",24&lt;=Creditos!$H$13),IF(P449&gt;0.005,E449,999999),999999)</f>
        <v>999999</v>
      </c>
    </row>
    <row r="450" ht="25.5" customHeight="1">
      <c r="C450" s="46" t="str">
        <f>IF(AND(Creditos!$C$13&lt;&gt;"",Creditos!$M$13="OK",25&lt;=Creditos!$H$13),Creditos!$C$13,"")</f>
        <v/>
      </c>
      <c r="D450" s="46" t="str">
        <f>IF(AND(Creditos!$C$13&lt;&gt;"",Creditos!$M$13="OK",25&lt;=Creditos!$H$13),25,"")</f>
        <v/>
      </c>
      <c r="E450" s="47" t="str">
        <f>IF(AND(Creditos!$C$13&lt;&gt;"",Creditos!$M$13="OK",25&lt;=Creditos!$H$13),EDATE(Creditos!$I$13,24),"")</f>
        <v/>
      </c>
      <c r="F450" s="48" t="str">
        <f>IF(AND(Creditos!$C$13&lt;&gt;"",Creditos!$M$13="OK",25&lt;=Creditos!$H$13),M449,"")</f>
        <v/>
      </c>
      <c r="G450" s="49" t="str">
        <f>IF(AND(Creditos!$C$13&lt;&gt;"",Creditos!$M$13="OK",25&lt;=Creditos!$H$13),Creditos!$N$13,"")</f>
        <v/>
      </c>
      <c r="H450" s="48" t="str">
        <f>IF(AND(Creditos!$C$13&lt;&gt;"",Creditos!$M$13="OK",25&lt;=Creditos!$H$13),ROUND(F450*G450,2),"")</f>
        <v/>
      </c>
      <c r="I450" s="48" t="str">
        <f>IF(AND(Creditos!$C$13&lt;&gt;"",Creditos!$M$13="OK",25&lt;=Creditos!$H$13),IF(25=Creditos!$H$13,F450+H450,MIN(Creditos!$O$13,F450+H450)),"")</f>
        <v/>
      </c>
      <c r="J450" s="48" t="str">
        <f>IF(AND(Creditos!$C$13&lt;&gt;"",Creditos!$M$13="OK",25&lt;=Creditos!$H$13),MIN(F450,MAX(0,I450-H450)),"")</f>
        <v/>
      </c>
      <c r="K450" s="48" t="str">
        <f>IF(AND(Creditos!$C$13&lt;&gt;"",Creditos!$M$13="OK",25&lt;=Creditos!$H$13),Creditos!$J$13+Creditos!$K$13,"")</f>
        <v/>
      </c>
      <c r="L450" s="48" t="str">
        <f>IF(AND(Creditos!$C$13&lt;&gt;"",Creditos!$M$13="OK",25&lt;=Creditos!$H$13),I450+K450,"")</f>
        <v/>
      </c>
      <c r="M450" s="48" t="str">
        <f>IF(AND(Creditos!$C$13&lt;&gt;"",Creditos!$M$13="OK",25&lt;=Creditos!$H$13),MAX(0,F450-J450),"")</f>
        <v/>
      </c>
      <c r="N450" s="48" t="str">
        <f>IF(AND(Creditos!$C$13&lt;&gt;"",Creditos!$M$13="OK",25&lt;=Creditos!$H$13),SUMIFS(Pagos!$F$6:$F$305,Pagos!$C$6:$C$305,C450,Pagos!$D$6:$D$305,D450,Pagos!$E$6:$E$305,"&lt;="&amp;Supuestos!$D$6,Pagos!$H$6:$H$305,"OK"),"")</f>
        <v/>
      </c>
      <c r="O450" s="48" t="str">
        <f>IF(AND(Creditos!$C$13&lt;&gt;"",Creditos!$M$13="OK",25&lt;=Creditos!$H$13),MIN(J450,MAX(0,N450-K450-H450)),"")</f>
        <v/>
      </c>
      <c r="P450" s="48" t="str">
        <f>IF(AND(Creditos!$C$13&lt;&gt;"",Creditos!$M$13="OK",25&lt;=Creditos!$H$13),MAX(0,L450-N450),"")</f>
        <v/>
      </c>
      <c r="Q450" s="50" t="str">
        <f>IF(AND(Creditos!$C$13&lt;&gt;"",Creditos!$M$13="OK",25&lt;=Creditos!$H$13),IF(AND(E450&lt;Supuestos!$D$6,P450&gt;0.005),Supuestos!$D$6-E450,0),"")</f>
        <v/>
      </c>
      <c r="R450" s="48" t="str">
        <f>IF(AND(Creditos!$C$13&lt;&gt;"",Creditos!$M$13="OK",25&lt;=Creditos!$H$13),MAX(0,N450-L450),"")</f>
        <v/>
      </c>
      <c r="S450" s="46" t="str">
        <f>IF(AND(Creditos!$C$13&lt;&gt;"",Creditos!$M$13="OK",25&lt;=Creditos!$H$13),IF(R450&gt;0.005,"Exceso sin imputar",IF(P450&lt;=0.005,"Pagada",IF(E450&lt;Supuestos!$D$6,"Vencida",IF(E450=Supuestos!$D$6,"Vence hoy","Por vencer")))),"")</f>
        <v/>
      </c>
      <c r="T450" s="46">
        <f>IF(AND(Creditos!$C$13&lt;&gt;"",Creditos!$M$13="OK",25&lt;=Creditos!$H$13),IF(P450&gt;0.005,E450,999999),999999)</f>
        <v>999999</v>
      </c>
    </row>
    <row r="451" ht="25.5" customHeight="1">
      <c r="C451" s="46" t="str">
        <f>IF(AND(Creditos!$C$13&lt;&gt;"",Creditos!$M$13="OK",26&lt;=Creditos!$H$13),Creditos!$C$13,"")</f>
        <v/>
      </c>
      <c r="D451" s="46" t="str">
        <f>IF(AND(Creditos!$C$13&lt;&gt;"",Creditos!$M$13="OK",26&lt;=Creditos!$H$13),26,"")</f>
        <v/>
      </c>
      <c r="E451" s="47" t="str">
        <f>IF(AND(Creditos!$C$13&lt;&gt;"",Creditos!$M$13="OK",26&lt;=Creditos!$H$13),EDATE(Creditos!$I$13,25),"")</f>
        <v/>
      </c>
      <c r="F451" s="48" t="str">
        <f>IF(AND(Creditos!$C$13&lt;&gt;"",Creditos!$M$13="OK",26&lt;=Creditos!$H$13),M450,"")</f>
        <v/>
      </c>
      <c r="G451" s="49" t="str">
        <f>IF(AND(Creditos!$C$13&lt;&gt;"",Creditos!$M$13="OK",26&lt;=Creditos!$H$13),Creditos!$N$13,"")</f>
        <v/>
      </c>
      <c r="H451" s="48" t="str">
        <f>IF(AND(Creditos!$C$13&lt;&gt;"",Creditos!$M$13="OK",26&lt;=Creditos!$H$13),ROUND(F451*G451,2),"")</f>
        <v/>
      </c>
      <c r="I451" s="48" t="str">
        <f>IF(AND(Creditos!$C$13&lt;&gt;"",Creditos!$M$13="OK",26&lt;=Creditos!$H$13),IF(26=Creditos!$H$13,F451+H451,MIN(Creditos!$O$13,F451+H451)),"")</f>
        <v/>
      </c>
      <c r="J451" s="48" t="str">
        <f>IF(AND(Creditos!$C$13&lt;&gt;"",Creditos!$M$13="OK",26&lt;=Creditos!$H$13),MIN(F451,MAX(0,I451-H451)),"")</f>
        <v/>
      </c>
      <c r="K451" s="48" t="str">
        <f>IF(AND(Creditos!$C$13&lt;&gt;"",Creditos!$M$13="OK",26&lt;=Creditos!$H$13),Creditos!$J$13+Creditos!$K$13,"")</f>
        <v/>
      </c>
      <c r="L451" s="48" t="str">
        <f>IF(AND(Creditos!$C$13&lt;&gt;"",Creditos!$M$13="OK",26&lt;=Creditos!$H$13),I451+K451,"")</f>
        <v/>
      </c>
      <c r="M451" s="48" t="str">
        <f>IF(AND(Creditos!$C$13&lt;&gt;"",Creditos!$M$13="OK",26&lt;=Creditos!$H$13),MAX(0,F451-J451),"")</f>
        <v/>
      </c>
      <c r="N451" s="48" t="str">
        <f>IF(AND(Creditos!$C$13&lt;&gt;"",Creditos!$M$13="OK",26&lt;=Creditos!$H$13),SUMIFS(Pagos!$F$6:$F$305,Pagos!$C$6:$C$305,C451,Pagos!$D$6:$D$305,D451,Pagos!$E$6:$E$305,"&lt;="&amp;Supuestos!$D$6,Pagos!$H$6:$H$305,"OK"),"")</f>
        <v/>
      </c>
      <c r="O451" s="48" t="str">
        <f>IF(AND(Creditos!$C$13&lt;&gt;"",Creditos!$M$13="OK",26&lt;=Creditos!$H$13),MIN(J451,MAX(0,N451-K451-H451)),"")</f>
        <v/>
      </c>
      <c r="P451" s="48" t="str">
        <f>IF(AND(Creditos!$C$13&lt;&gt;"",Creditos!$M$13="OK",26&lt;=Creditos!$H$13),MAX(0,L451-N451),"")</f>
        <v/>
      </c>
      <c r="Q451" s="50" t="str">
        <f>IF(AND(Creditos!$C$13&lt;&gt;"",Creditos!$M$13="OK",26&lt;=Creditos!$H$13),IF(AND(E451&lt;Supuestos!$D$6,P451&gt;0.005),Supuestos!$D$6-E451,0),"")</f>
        <v/>
      </c>
      <c r="R451" s="48" t="str">
        <f>IF(AND(Creditos!$C$13&lt;&gt;"",Creditos!$M$13="OK",26&lt;=Creditos!$H$13),MAX(0,N451-L451),"")</f>
        <v/>
      </c>
      <c r="S451" s="46" t="str">
        <f>IF(AND(Creditos!$C$13&lt;&gt;"",Creditos!$M$13="OK",26&lt;=Creditos!$H$13),IF(R451&gt;0.005,"Exceso sin imputar",IF(P451&lt;=0.005,"Pagada",IF(E451&lt;Supuestos!$D$6,"Vencida",IF(E451=Supuestos!$D$6,"Vence hoy","Por vencer")))),"")</f>
        <v/>
      </c>
      <c r="T451" s="46">
        <f>IF(AND(Creditos!$C$13&lt;&gt;"",Creditos!$M$13="OK",26&lt;=Creditos!$H$13),IF(P451&gt;0.005,E451,999999),999999)</f>
        <v>999999</v>
      </c>
    </row>
    <row r="452" ht="25.5" customHeight="1">
      <c r="C452" s="46" t="str">
        <f>IF(AND(Creditos!$C$13&lt;&gt;"",Creditos!$M$13="OK",27&lt;=Creditos!$H$13),Creditos!$C$13,"")</f>
        <v/>
      </c>
      <c r="D452" s="46" t="str">
        <f>IF(AND(Creditos!$C$13&lt;&gt;"",Creditos!$M$13="OK",27&lt;=Creditos!$H$13),27,"")</f>
        <v/>
      </c>
      <c r="E452" s="47" t="str">
        <f>IF(AND(Creditos!$C$13&lt;&gt;"",Creditos!$M$13="OK",27&lt;=Creditos!$H$13),EDATE(Creditos!$I$13,26),"")</f>
        <v/>
      </c>
      <c r="F452" s="48" t="str">
        <f>IF(AND(Creditos!$C$13&lt;&gt;"",Creditos!$M$13="OK",27&lt;=Creditos!$H$13),M451,"")</f>
        <v/>
      </c>
      <c r="G452" s="49" t="str">
        <f>IF(AND(Creditos!$C$13&lt;&gt;"",Creditos!$M$13="OK",27&lt;=Creditos!$H$13),Creditos!$N$13,"")</f>
        <v/>
      </c>
      <c r="H452" s="48" t="str">
        <f>IF(AND(Creditos!$C$13&lt;&gt;"",Creditos!$M$13="OK",27&lt;=Creditos!$H$13),ROUND(F452*G452,2),"")</f>
        <v/>
      </c>
      <c r="I452" s="48" t="str">
        <f>IF(AND(Creditos!$C$13&lt;&gt;"",Creditos!$M$13="OK",27&lt;=Creditos!$H$13),IF(27=Creditos!$H$13,F452+H452,MIN(Creditos!$O$13,F452+H452)),"")</f>
        <v/>
      </c>
      <c r="J452" s="48" t="str">
        <f>IF(AND(Creditos!$C$13&lt;&gt;"",Creditos!$M$13="OK",27&lt;=Creditos!$H$13),MIN(F452,MAX(0,I452-H452)),"")</f>
        <v/>
      </c>
      <c r="K452" s="48" t="str">
        <f>IF(AND(Creditos!$C$13&lt;&gt;"",Creditos!$M$13="OK",27&lt;=Creditos!$H$13),Creditos!$J$13+Creditos!$K$13,"")</f>
        <v/>
      </c>
      <c r="L452" s="48" t="str">
        <f>IF(AND(Creditos!$C$13&lt;&gt;"",Creditos!$M$13="OK",27&lt;=Creditos!$H$13),I452+K452,"")</f>
        <v/>
      </c>
      <c r="M452" s="48" t="str">
        <f>IF(AND(Creditos!$C$13&lt;&gt;"",Creditos!$M$13="OK",27&lt;=Creditos!$H$13),MAX(0,F452-J452),"")</f>
        <v/>
      </c>
      <c r="N452" s="48" t="str">
        <f>IF(AND(Creditos!$C$13&lt;&gt;"",Creditos!$M$13="OK",27&lt;=Creditos!$H$13),SUMIFS(Pagos!$F$6:$F$305,Pagos!$C$6:$C$305,C452,Pagos!$D$6:$D$305,D452,Pagos!$E$6:$E$305,"&lt;="&amp;Supuestos!$D$6,Pagos!$H$6:$H$305,"OK"),"")</f>
        <v/>
      </c>
      <c r="O452" s="48" t="str">
        <f>IF(AND(Creditos!$C$13&lt;&gt;"",Creditos!$M$13="OK",27&lt;=Creditos!$H$13),MIN(J452,MAX(0,N452-K452-H452)),"")</f>
        <v/>
      </c>
      <c r="P452" s="48" t="str">
        <f>IF(AND(Creditos!$C$13&lt;&gt;"",Creditos!$M$13="OK",27&lt;=Creditos!$H$13),MAX(0,L452-N452),"")</f>
        <v/>
      </c>
      <c r="Q452" s="50" t="str">
        <f>IF(AND(Creditos!$C$13&lt;&gt;"",Creditos!$M$13="OK",27&lt;=Creditos!$H$13),IF(AND(E452&lt;Supuestos!$D$6,P452&gt;0.005),Supuestos!$D$6-E452,0),"")</f>
        <v/>
      </c>
      <c r="R452" s="48" t="str">
        <f>IF(AND(Creditos!$C$13&lt;&gt;"",Creditos!$M$13="OK",27&lt;=Creditos!$H$13),MAX(0,N452-L452),"")</f>
        <v/>
      </c>
      <c r="S452" s="46" t="str">
        <f>IF(AND(Creditos!$C$13&lt;&gt;"",Creditos!$M$13="OK",27&lt;=Creditos!$H$13),IF(R452&gt;0.005,"Exceso sin imputar",IF(P452&lt;=0.005,"Pagada",IF(E452&lt;Supuestos!$D$6,"Vencida",IF(E452=Supuestos!$D$6,"Vence hoy","Por vencer")))),"")</f>
        <v/>
      </c>
      <c r="T452" s="46">
        <f>IF(AND(Creditos!$C$13&lt;&gt;"",Creditos!$M$13="OK",27&lt;=Creditos!$H$13),IF(P452&gt;0.005,E452,999999),999999)</f>
        <v>999999</v>
      </c>
    </row>
    <row r="453" ht="25.5" customHeight="1">
      <c r="C453" s="46" t="str">
        <f>IF(AND(Creditos!$C$13&lt;&gt;"",Creditos!$M$13="OK",28&lt;=Creditos!$H$13),Creditos!$C$13,"")</f>
        <v/>
      </c>
      <c r="D453" s="46" t="str">
        <f>IF(AND(Creditos!$C$13&lt;&gt;"",Creditos!$M$13="OK",28&lt;=Creditos!$H$13),28,"")</f>
        <v/>
      </c>
      <c r="E453" s="47" t="str">
        <f>IF(AND(Creditos!$C$13&lt;&gt;"",Creditos!$M$13="OK",28&lt;=Creditos!$H$13),EDATE(Creditos!$I$13,27),"")</f>
        <v/>
      </c>
      <c r="F453" s="48" t="str">
        <f>IF(AND(Creditos!$C$13&lt;&gt;"",Creditos!$M$13="OK",28&lt;=Creditos!$H$13),M452,"")</f>
        <v/>
      </c>
      <c r="G453" s="49" t="str">
        <f>IF(AND(Creditos!$C$13&lt;&gt;"",Creditos!$M$13="OK",28&lt;=Creditos!$H$13),Creditos!$N$13,"")</f>
        <v/>
      </c>
      <c r="H453" s="48" t="str">
        <f>IF(AND(Creditos!$C$13&lt;&gt;"",Creditos!$M$13="OK",28&lt;=Creditos!$H$13),ROUND(F453*G453,2),"")</f>
        <v/>
      </c>
      <c r="I453" s="48" t="str">
        <f>IF(AND(Creditos!$C$13&lt;&gt;"",Creditos!$M$13="OK",28&lt;=Creditos!$H$13),IF(28=Creditos!$H$13,F453+H453,MIN(Creditos!$O$13,F453+H453)),"")</f>
        <v/>
      </c>
      <c r="J453" s="48" t="str">
        <f>IF(AND(Creditos!$C$13&lt;&gt;"",Creditos!$M$13="OK",28&lt;=Creditos!$H$13),MIN(F453,MAX(0,I453-H453)),"")</f>
        <v/>
      </c>
      <c r="K453" s="48" t="str">
        <f>IF(AND(Creditos!$C$13&lt;&gt;"",Creditos!$M$13="OK",28&lt;=Creditos!$H$13),Creditos!$J$13+Creditos!$K$13,"")</f>
        <v/>
      </c>
      <c r="L453" s="48" t="str">
        <f>IF(AND(Creditos!$C$13&lt;&gt;"",Creditos!$M$13="OK",28&lt;=Creditos!$H$13),I453+K453,"")</f>
        <v/>
      </c>
      <c r="M453" s="48" t="str">
        <f>IF(AND(Creditos!$C$13&lt;&gt;"",Creditos!$M$13="OK",28&lt;=Creditos!$H$13),MAX(0,F453-J453),"")</f>
        <v/>
      </c>
      <c r="N453" s="48" t="str">
        <f>IF(AND(Creditos!$C$13&lt;&gt;"",Creditos!$M$13="OK",28&lt;=Creditos!$H$13),SUMIFS(Pagos!$F$6:$F$305,Pagos!$C$6:$C$305,C453,Pagos!$D$6:$D$305,D453,Pagos!$E$6:$E$305,"&lt;="&amp;Supuestos!$D$6,Pagos!$H$6:$H$305,"OK"),"")</f>
        <v/>
      </c>
      <c r="O453" s="48" t="str">
        <f>IF(AND(Creditos!$C$13&lt;&gt;"",Creditos!$M$13="OK",28&lt;=Creditos!$H$13),MIN(J453,MAX(0,N453-K453-H453)),"")</f>
        <v/>
      </c>
      <c r="P453" s="48" t="str">
        <f>IF(AND(Creditos!$C$13&lt;&gt;"",Creditos!$M$13="OK",28&lt;=Creditos!$H$13),MAX(0,L453-N453),"")</f>
        <v/>
      </c>
      <c r="Q453" s="50" t="str">
        <f>IF(AND(Creditos!$C$13&lt;&gt;"",Creditos!$M$13="OK",28&lt;=Creditos!$H$13),IF(AND(E453&lt;Supuestos!$D$6,P453&gt;0.005),Supuestos!$D$6-E453,0),"")</f>
        <v/>
      </c>
      <c r="R453" s="48" t="str">
        <f>IF(AND(Creditos!$C$13&lt;&gt;"",Creditos!$M$13="OK",28&lt;=Creditos!$H$13),MAX(0,N453-L453),"")</f>
        <v/>
      </c>
      <c r="S453" s="46" t="str">
        <f>IF(AND(Creditos!$C$13&lt;&gt;"",Creditos!$M$13="OK",28&lt;=Creditos!$H$13),IF(R453&gt;0.005,"Exceso sin imputar",IF(P453&lt;=0.005,"Pagada",IF(E453&lt;Supuestos!$D$6,"Vencida",IF(E453=Supuestos!$D$6,"Vence hoy","Por vencer")))),"")</f>
        <v/>
      </c>
      <c r="T453" s="46">
        <f>IF(AND(Creditos!$C$13&lt;&gt;"",Creditos!$M$13="OK",28&lt;=Creditos!$H$13),IF(P453&gt;0.005,E453,999999),999999)</f>
        <v>999999</v>
      </c>
    </row>
    <row r="454" ht="25.5" customHeight="1">
      <c r="C454" s="46" t="str">
        <f>IF(AND(Creditos!$C$13&lt;&gt;"",Creditos!$M$13="OK",29&lt;=Creditos!$H$13),Creditos!$C$13,"")</f>
        <v/>
      </c>
      <c r="D454" s="46" t="str">
        <f>IF(AND(Creditos!$C$13&lt;&gt;"",Creditos!$M$13="OK",29&lt;=Creditos!$H$13),29,"")</f>
        <v/>
      </c>
      <c r="E454" s="47" t="str">
        <f>IF(AND(Creditos!$C$13&lt;&gt;"",Creditos!$M$13="OK",29&lt;=Creditos!$H$13),EDATE(Creditos!$I$13,28),"")</f>
        <v/>
      </c>
      <c r="F454" s="48" t="str">
        <f>IF(AND(Creditos!$C$13&lt;&gt;"",Creditos!$M$13="OK",29&lt;=Creditos!$H$13),M453,"")</f>
        <v/>
      </c>
      <c r="G454" s="49" t="str">
        <f>IF(AND(Creditos!$C$13&lt;&gt;"",Creditos!$M$13="OK",29&lt;=Creditos!$H$13),Creditos!$N$13,"")</f>
        <v/>
      </c>
      <c r="H454" s="48" t="str">
        <f>IF(AND(Creditos!$C$13&lt;&gt;"",Creditos!$M$13="OK",29&lt;=Creditos!$H$13),ROUND(F454*G454,2),"")</f>
        <v/>
      </c>
      <c r="I454" s="48" t="str">
        <f>IF(AND(Creditos!$C$13&lt;&gt;"",Creditos!$M$13="OK",29&lt;=Creditos!$H$13),IF(29=Creditos!$H$13,F454+H454,MIN(Creditos!$O$13,F454+H454)),"")</f>
        <v/>
      </c>
      <c r="J454" s="48" t="str">
        <f>IF(AND(Creditos!$C$13&lt;&gt;"",Creditos!$M$13="OK",29&lt;=Creditos!$H$13),MIN(F454,MAX(0,I454-H454)),"")</f>
        <v/>
      </c>
      <c r="K454" s="48" t="str">
        <f>IF(AND(Creditos!$C$13&lt;&gt;"",Creditos!$M$13="OK",29&lt;=Creditos!$H$13),Creditos!$J$13+Creditos!$K$13,"")</f>
        <v/>
      </c>
      <c r="L454" s="48" t="str">
        <f>IF(AND(Creditos!$C$13&lt;&gt;"",Creditos!$M$13="OK",29&lt;=Creditos!$H$13),I454+K454,"")</f>
        <v/>
      </c>
      <c r="M454" s="48" t="str">
        <f>IF(AND(Creditos!$C$13&lt;&gt;"",Creditos!$M$13="OK",29&lt;=Creditos!$H$13),MAX(0,F454-J454),"")</f>
        <v/>
      </c>
      <c r="N454" s="48" t="str">
        <f>IF(AND(Creditos!$C$13&lt;&gt;"",Creditos!$M$13="OK",29&lt;=Creditos!$H$13),SUMIFS(Pagos!$F$6:$F$305,Pagos!$C$6:$C$305,C454,Pagos!$D$6:$D$305,D454,Pagos!$E$6:$E$305,"&lt;="&amp;Supuestos!$D$6,Pagos!$H$6:$H$305,"OK"),"")</f>
        <v/>
      </c>
      <c r="O454" s="48" t="str">
        <f>IF(AND(Creditos!$C$13&lt;&gt;"",Creditos!$M$13="OK",29&lt;=Creditos!$H$13),MIN(J454,MAX(0,N454-K454-H454)),"")</f>
        <v/>
      </c>
      <c r="P454" s="48" t="str">
        <f>IF(AND(Creditos!$C$13&lt;&gt;"",Creditos!$M$13="OK",29&lt;=Creditos!$H$13),MAX(0,L454-N454),"")</f>
        <v/>
      </c>
      <c r="Q454" s="50" t="str">
        <f>IF(AND(Creditos!$C$13&lt;&gt;"",Creditos!$M$13="OK",29&lt;=Creditos!$H$13),IF(AND(E454&lt;Supuestos!$D$6,P454&gt;0.005),Supuestos!$D$6-E454,0),"")</f>
        <v/>
      </c>
      <c r="R454" s="48" t="str">
        <f>IF(AND(Creditos!$C$13&lt;&gt;"",Creditos!$M$13="OK",29&lt;=Creditos!$H$13),MAX(0,N454-L454),"")</f>
        <v/>
      </c>
      <c r="S454" s="46" t="str">
        <f>IF(AND(Creditos!$C$13&lt;&gt;"",Creditos!$M$13="OK",29&lt;=Creditos!$H$13),IF(R454&gt;0.005,"Exceso sin imputar",IF(P454&lt;=0.005,"Pagada",IF(E454&lt;Supuestos!$D$6,"Vencida",IF(E454=Supuestos!$D$6,"Vence hoy","Por vencer")))),"")</f>
        <v/>
      </c>
      <c r="T454" s="46">
        <f>IF(AND(Creditos!$C$13&lt;&gt;"",Creditos!$M$13="OK",29&lt;=Creditos!$H$13),IF(P454&gt;0.005,E454,999999),999999)</f>
        <v>999999</v>
      </c>
    </row>
    <row r="455" ht="25.5" customHeight="1">
      <c r="C455" s="46" t="str">
        <f>IF(AND(Creditos!$C$13&lt;&gt;"",Creditos!$M$13="OK",30&lt;=Creditos!$H$13),Creditos!$C$13,"")</f>
        <v/>
      </c>
      <c r="D455" s="46" t="str">
        <f>IF(AND(Creditos!$C$13&lt;&gt;"",Creditos!$M$13="OK",30&lt;=Creditos!$H$13),30,"")</f>
        <v/>
      </c>
      <c r="E455" s="47" t="str">
        <f>IF(AND(Creditos!$C$13&lt;&gt;"",Creditos!$M$13="OK",30&lt;=Creditos!$H$13),EDATE(Creditos!$I$13,29),"")</f>
        <v/>
      </c>
      <c r="F455" s="48" t="str">
        <f>IF(AND(Creditos!$C$13&lt;&gt;"",Creditos!$M$13="OK",30&lt;=Creditos!$H$13),M454,"")</f>
        <v/>
      </c>
      <c r="G455" s="49" t="str">
        <f>IF(AND(Creditos!$C$13&lt;&gt;"",Creditos!$M$13="OK",30&lt;=Creditos!$H$13),Creditos!$N$13,"")</f>
        <v/>
      </c>
      <c r="H455" s="48" t="str">
        <f>IF(AND(Creditos!$C$13&lt;&gt;"",Creditos!$M$13="OK",30&lt;=Creditos!$H$13),ROUND(F455*G455,2),"")</f>
        <v/>
      </c>
      <c r="I455" s="48" t="str">
        <f>IF(AND(Creditos!$C$13&lt;&gt;"",Creditos!$M$13="OK",30&lt;=Creditos!$H$13),IF(30=Creditos!$H$13,F455+H455,MIN(Creditos!$O$13,F455+H455)),"")</f>
        <v/>
      </c>
      <c r="J455" s="48" t="str">
        <f>IF(AND(Creditos!$C$13&lt;&gt;"",Creditos!$M$13="OK",30&lt;=Creditos!$H$13),MIN(F455,MAX(0,I455-H455)),"")</f>
        <v/>
      </c>
      <c r="K455" s="48" t="str">
        <f>IF(AND(Creditos!$C$13&lt;&gt;"",Creditos!$M$13="OK",30&lt;=Creditos!$H$13),Creditos!$J$13+Creditos!$K$13,"")</f>
        <v/>
      </c>
      <c r="L455" s="48" t="str">
        <f>IF(AND(Creditos!$C$13&lt;&gt;"",Creditos!$M$13="OK",30&lt;=Creditos!$H$13),I455+K455,"")</f>
        <v/>
      </c>
      <c r="M455" s="48" t="str">
        <f>IF(AND(Creditos!$C$13&lt;&gt;"",Creditos!$M$13="OK",30&lt;=Creditos!$H$13),MAX(0,F455-J455),"")</f>
        <v/>
      </c>
      <c r="N455" s="48" t="str">
        <f>IF(AND(Creditos!$C$13&lt;&gt;"",Creditos!$M$13="OK",30&lt;=Creditos!$H$13),SUMIFS(Pagos!$F$6:$F$305,Pagos!$C$6:$C$305,C455,Pagos!$D$6:$D$305,D455,Pagos!$E$6:$E$305,"&lt;="&amp;Supuestos!$D$6,Pagos!$H$6:$H$305,"OK"),"")</f>
        <v/>
      </c>
      <c r="O455" s="48" t="str">
        <f>IF(AND(Creditos!$C$13&lt;&gt;"",Creditos!$M$13="OK",30&lt;=Creditos!$H$13),MIN(J455,MAX(0,N455-K455-H455)),"")</f>
        <v/>
      </c>
      <c r="P455" s="48" t="str">
        <f>IF(AND(Creditos!$C$13&lt;&gt;"",Creditos!$M$13="OK",30&lt;=Creditos!$H$13),MAX(0,L455-N455),"")</f>
        <v/>
      </c>
      <c r="Q455" s="50" t="str">
        <f>IF(AND(Creditos!$C$13&lt;&gt;"",Creditos!$M$13="OK",30&lt;=Creditos!$H$13),IF(AND(E455&lt;Supuestos!$D$6,P455&gt;0.005),Supuestos!$D$6-E455,0),"")</f>
        <v/>
      </c>
      <c r="R455" s="48" t="str">
        <f>IF(AND(Creditos!$C$13&lt;&gt;"",Creditos!$M$13="OK",30&lt;=Creditos!$H$13),MAX(0,N455-L455),"")</f>
        <v/>
      </c>
      <c r="S455" s="46" t="str">
        <f>IF(AND(Creditos!$C$13&lt;&gt;"",Creditos!$M$13="OK",30&lt;=Creditos!$H$13),IF(R455&gt;0.005,"Exceso sin imputar",IF(P455&lt;=0.005,"Pagada",IF(E455&lt;Supuestos!$D$6,"Vencida",IF(E455=Supuestos!$D$6,"Vence hoy","Por vencer")))),"")</f>
        <v/>
      </c>
      <c r="T455" s="46">
        <f>IF(AND(Creditos!$C$13&lt;&gt;"",Creditos!$M$13="OK",30&lt;=Creditos!$H$13),IF(P455&gt;0.005,E455,999999),999999)</f>
        <v>999999</v>
      </c>
    </row>
    <row r="456" ht="25.5" customHeight="1">
      <c r="C456" s="46" t="str">
        <f>IF(AND(Creditos!$C$13&lt;&gt;"",Creditos!$M$13="OK",31&lt;=Creditos!$H$13),Creditos!$C$13,"")</f>
        <v/>
      </c>
      <c r="D456" s="46" t="str">
        <f>IF(AND(Creditos!$C$13&lt;&gt;"",Creditos!$M$13="OK",31&lt;=Creditos!$H$13),31,"")</f>
        <v/>
      </c>
      <c r="E456" s="47" t="str">
        <f>IF(AND(Creditos!$C$13&lt;&gt;"",Creditos!$M$13="OK",31&lt;=Creditos!$H$13),EDATE(Creditos!$I$13,30),"")</f>
        <v/>
      </c>
      <c r="F456" s="48" t="str">
        <f>IF(AND(Creditos!$C$13&lt;&gt;"",Creditos!$M$13="OK",31&lt;=Creditos!$H$13),M455,"")</f>
        <v/>
      </c>
      <c r="G456" s="49" t="str">
        <f>IF(AND(Creditos!$C$13&lt;&gt;"",Creditos!$M$13="OK",31&lt;=Creditos!$H$13),Creditos!$N$13,"")</f>
        <v/>
      </c>
      <c r="H456" s="48" t="str">
        <f>IF(AND(Creditos!$C$13&lt;&gt;"",Creditos!$M$13="OK",31&lt;=Creditos!$H$13),ROUND(F456*G456,2),"")</f>
        <v/>
      </c>
      <c r="I456" s="48" t="str">
        <f>IF(AND(Creditos!$C$13&lt;&gt;"",Creditos!$M$13="OK",31&lt;=Creditos!$H$13),IF(31=Creditos!$H$13,F456+H456,MIN(Creditos!$O$13,F456+H456)),"")</f>
        <v/>
      </c>
      <c r="J456" s="48" t="str">
        <f>IF(AND(Creditos!$C$13&lt;&gt;"",Creditos!$M$13="OK",31&lt;=Creditos!$H$13),MIN(F456,MAX(0,I456-H456)),"")</f>
        <v/>
      </c>
      <c r="K456" s="48" t="str">
        <f>IF(AND(Creditos!$C$13&lt;&gt;"",Creditos!$M$13="OK",31&lt;=Creditos!$H$13),Creditos!$J$13+Creditos!$K$13,"")</f>
        <v/>
      </c>
      <c r="L456" s="48" t="str">
        <f>IF(AND(Creditos!$C$13&lt;&gt;"",Creditos!$M$13="OK",31&lt;=Creditos!$H$13),I456+K456,"")</f>
        <v/>
      </c>
      <c r="M456" s="48" t="str">
        <f>IF(AND(Creditos!$C$13&lt;&gt;"",Creditos!$M$13="OK",31&lt;=Creditos!$H$13),MAX(0,F456-J456),"")</f>
        <v/>
      </c>
      <c r="N456" s="48" t="str">
        <f>IF(AND(Creditos!$C$13&lt;&gt;"",Creditos!$M$13="OK",31&lt;=Creditos!$H$13),SUMIFS(Pagos!$F$6:$F$305,Pagos!$C$6:$C$305,C456,Pagos!$D$6:$D$305,D456,Pagos!$E$6:$E$305,"&lt;="&amp;Supuestos!$D$6,Pagos!$H$6:$H$305,"OK"),"")</f>
        <v/>
      </c>
      <c r="O456" s="48" t="str">
        <f>IF(AND(Creditos!$C$13&lt;&gt;"",Creditos!$M$13="OK",31&lt;=Creditos!$H$13),MIN(J456,MAX(0,N456-K456-H456)),"")</f>
        <v/>
      </c>
      <c r="P456" s="48" t="str">
        <f>IF(AND(Creditos!$C$13&lt;&gt;"",Creditos!$M$13="OK",31&lt;=Creditos!$H$13),MAX(0,L456-N456),"")</f>
        <v/>
      </c>
      <c r="Q456" s="50" t="str">
        <f>IF(AND(Creditos!$C$13&lt;&gt;"",Creditos!$M$13="OK",31&lt;=Creditos!$H$13),IF(AND(E456&lt;Supuestos!$D$6,P456&gt;0.005),Supuestos!$D$6-E456,0),"")</f>
        <v/>
      </c>
      <c r="R456" s="48" t="str">
        <f>IF(AND(Creditos!$C$13&lt;&gt;"",Creditos!$M$13="OK",31&lt;=Creditos!$H$13),MAX(0,N456-L456),"")</f>
        <v/>
      </c>
      <c r="S456" s="46" t="str">
        <f>IF(AND(Creditos!$C$13&lt;&gt;"",Creditos!$M$13="OK",31&lt;=Creditos!$H$13),IF(R456&gt;0.005,"Exceso sin imputar",IF(P456&lt;=0.005,"Pagada",IF(E456&lt;Supuestos!$D$6,"Vencida",IF(E456=Supuestos!$D$6,"Vence hoy","Por vencer")))),"")</f>
        <v/>
      </c>
      <c r="T456" s="46">
        <f>IF(AND(Creditos!$C$13&lt;&gt;"",Creditos!$M$13="OK",31&lt;=Creditos!$H$13),IF(P456&gt;0.005,E456,999999),999999)</f>
        <v>999999</v>
      </c>
    </row>
    <row r="457" ht="25.5" customHeight="1">
      <c r="C457" s="46" t="str">
        <f>IF(AND(Creditos!$C$13&lt;&gt;"",Creditos!$M$13="OK",32&lt;=Creditos!$H$13),Creditos!$C$13,"")</f>
        <v/>
      </c>
      <c r="D457" s="46" t="str">
        <f>IF(AND(Creditos!$C$13&lt;&gt;"",Creditos!$M$13="OK",32&lt;=Creditos!$H$13),32,"")</f>
        <v/>
      </c>
      <c r="E457" s="47" t="str">
        <f>IF(AND(Creditos!$C$13&lt;&gt;"",Creditos!$M$13="OK",32&lt;=Creditos!$H$13),EDATE(Creditos!$I$13,31),"")</f>
        <v/>
      </c>
      <c r="F457" s="48" t="str">
        <f>IF(AND(Creditos!$C$13&lt;&gt;"",Creditos!$M$13="OK",32&lt;=Creditos!$H$13),M456,"")</f>
        <v/>
      </c>
      <c r="G457" s="49" t="str">
        <f>IF(AND(Creditos!$C$13&lt;&gt;"",Creditos!$M$13="OK",32&lt;=Creditos!$H$13),Creditos!$N$13,"")</f>
        <v/>
      </c>
      <c r="H457" s="48" t="str">
        <f>IF(AND(Creditos!$C$13&lt;&gt;"",Creditos!$M$13="OK",32&lt;=Creditos!$H$13),ROUND(F457*G457,2),"")</f>
        <v/>
      </c>
      <c r="I457" s="48" t="str">
        <f>IF(AND(Creditos!$C$13&lt;&gt;"",Creditos!$M$13="OK",32&lt;=Creditos!$H$13),IF(32=Creditos!$H$13,F457+H457,MIN(Creditos!$O$13,F457+H457)),"")</f>
        <v/>
      </c>
      <c r="J457" s="48" t="str">
        <f>IF(AND(Creditos!$C$13&lt;&gt;"",Creditos!$M$13="OK",32&lt;=Creditos!$H$13),MIN(F457,MAX(0,I457-H457)),"")</f>
        <v/>
      </c>
      <c r="K457" s="48" t="str">
        <f>IF(AND(Creditos!$C$13&lt;&gt;"",Creditos!$M$13="OK",32&lt;=Creditos!$H$13),Creditos!$J$13+Creditos!$K$13,"")</f>
        <v/>
      </c>
      <c r="L457" s="48" t="str">
        <f>IF(AND(Creditos!$C$13&lt;&gt;"",Creditos!$M$13="OK",32&lt;=Creditos!$H$13),I457+K457,"")</f>
        <v/>
      </c>
      <c r="M457" s="48" t="str">
        <f>IF(AND(Creditos!$C$13&lt;&gt;"",Creditos!$M$13="OK",32&lt;=Creditos!$H$13),MAX(0,F457-J457),"")</f>
        <v/>
      </c>
      <c r="N457" s="48" t="str">
        <f>IF(AND(Creditos!$C$13&lt;&gt;"",Creditos!$M$13="OK",32&lt;=Creditos!$H$13),SUMIFS(Pagos!$F$6:$F$305,Pagos!$C$6:$C$305,C457,Pagos!$D$6:$D$305,D457,Pagos!$E$6:$E$305,"&lt;="&amp;Supuestos!$D$6,Pagos!$H$6:$H$305,"OK"),"")</f>
        <v/>
      </c>
      <c r="O457" s="48" t="str">
        <f>IF(AND(Creditos!$C$13&lt;&gt;"",Creditos!$M$13="OK",32&lt;=Creditos!$H$13),MIN(J457,MAX(0,N457-K457-H457)),"")</f>
        <v/>
      </c>
      <c r="P457" s="48" t="str">
        <f>IF(AND(Creditos!$C$13&lt;&gt;"",Creditos!$M$13="OK",32&lt;=Creditos!$H$13),MAX(0,L457-N457),"")</f>
        <v/>
      </c>
      <c r="Q457" s="50" t="str">
        <f>IF(AND(Creditos!$C$13&lt;&gt;"",Creditos!$M$13="OK",32&lt;=Creditos!$H$13),IF(AND(E457&lt;Supuestos!$D$6,P457&gt;0.005),Supuestos!$D$6-E457,0),"")</f>
        <v/>
      </c>
      <c r="R457" s="48" t="str">
        <f>IF(AND(Creditos!$C$13&lt;&gt;"",Creditos!$M$13="OK",32&lt;=Creditos!$H$13),MAX(0,N457-L457),"")</f>
        <v/>
      </c>
      <c r="S457" s="46" t="str">
        <f>IF(AND(Creditos!$C$13&lt;&gt;"",Creditos!$M$13="OK",32&lt;=Creditos!$H$13),IF(R457&gt;0.005,"Exceso sin imputar",IF(P457&lt;=0.005,"Pagada",IF(E457&lt;Supuestos!$D$6,"Vencida",IF(E457=Supuestos!$D$6,"Vence hoy","Por vencer")))),"")</f>
        <v/>
      </c>
      <c r="T457" s="46">
        <f>IF(AND(Creditos!$C$13&lt;&gt;"",Creditos!$M$13="OK",32&lt;=Creditos!$H$13),IF(P457&gt;0.005,E457,999999),999999)</f>
        <v>999999</v>
      </c>
    </row>
    <row r="458" ht="25.5" customHeight="1">
      <c r="C458" s="46" t="str">
        <f>IF(AND(Creditos!$C$13&lt;&gt;"",Creditos!$M$13="OK",33&lt;=Creditos!$H$13),Creditos!$C$13,"")</f>
        <v/>
      </c>
      <c r="D458" s="46" t="str">
        <f>IF(AND(Creditos!$C$13&lt;&gt;"",Creditos!$M$13="OK",33&lt;=Creditos!$H$13),33,"")</f>
        <v/>
      </c>
      <c r="E458" s="47" t="str">
        <f>IF(AND(Creditos!$C$13&lt;&gt;"",Creditos!$M$13="OK",33&lt;=Creditos!$H$13),EDATE(Creditos!$I$13,32),"")</f>
        <v/>
      </c>
      <c r="F458" s="48" t="str">
        <f>IF(AND(Creditos!$C$13&lt;&gt;"",Creditos!$M$13="OK",33&lt;=Creditos!$H$13),M457,"")</f>
        <v/>
      </c>
      <c r="G458" s="49" t="str">
        <f>IF(AND(Creditos!$C$13&lt;&gt;"",Creditos!$M$13="OK",33&lt;=Creditos!$H$13),Creditos!$N$13,"")</f>
        <v/>
      </c>
      <c r="H458" s="48" t="str">
        <f>IF(AND(Creditos!$C$13&lt;&gt;"",Creditos!$M$13="OK",33&lt;=Creditos!$H$13),ROUND(F458*G458,2),"")</f>
        <v/>
      </c>
      <c r="I458" s="48" t="str">
        <f>IF(AND(Creditos!$C$13&lt;&gt;"",Creditos!$M$13="OK",33&lt;=Creditos!$H$13),IF(33=Creditos!$H$13,F458+H458,MIN(Creditos!$O$13,F458+H458)),"")</f>
        <v/>
      </c>
      <c r="J458" s="48" t="str">
        <f>IF(AND(Creditos!$C$13&lt;&gt;"",Creditos!$M$13="OK",33&lt;=Creditos!$H$13),MIN(F458,MAX(0,I458-H458)),"")</f>
        <v/>
      </c>
      <c r="K458" s="48" t="str">
        <f>IF(AND(Creditos!$C$13&lt;&gt;"",Creditos!$M$13="OK",33&lt;=Creditos!$H$13),Creditos!$J$13+Creditos!$K$13,"")</f>
        <v/>
      </c>
      <c r="L458" s="48" t="str">
        <f>IF(AND(Creditos!$C$13&lt;&gt;"",Creditos!$M$13="OK",33&lt;=Creditos!$H$13),I458+K458,"")</f>
        <v/>
      </c>
      <c r="M458" s="48" t="str">
        <f>IF(AND(Creditos!$C$13&lt;&gt;"",Creditos!$M$13="OK",33&lt;=Creditos!$H$13),MAX(0,F458-J458),"")</f>
        <v/>
      </c>
      <c r="N458" s="48" t="str">
        <f>IF(AND(Creditos!$C$13&lt;&gt;"",Creditos!$M$13="OK",33&lt;=Creditos!$H$13),SUMIFS(Pagos!$F$6:$F$305,Pagos!$C$6:$C$305,C458,Pagos!$D$6:$D$305,D458,Pagos!$E$6:$E$305,"&lt;="&amp;Supuestos!$D$6,Pagos!$H$6:$H$305,"OK"),"")</f>
        <v/>
      </c>
      <c r="O458" s="48" t="str">
        <f>IF(AND(Creditos!$C$13&lt;&gt;"",Creditos!$M$13="OK",33&lt;=Creditos!$H$13),MIN(J458,MAX(0,N458-K458-H458)),"")</f>
        <v/>
      </c>
      <c r="P458" s="48" t="str">
        <f>IF(AND(Creditos!$C$13&lt;&gt;"",Creditos!$M$13="OK",33&lt;=Creditos!$H$13),MAX(0,L458-N458),"")</f>
        <v/>
      </c>
      <c r="Q458" s="50" t="str">
        <f>IF(AND(Creditos!$C$13&lt;&gt;"",Creditos!$M$13="OK",33&lt;=Creditos!$H$13),IF(AND(E458&lt;Supuestos!$D$6,P458&gt;0.005),Supuestos!$D$6-E458,0),"")</f>
        <v/>
      </c>
      <c r="R458" s="48" t="str">
        <f>IF(AND(Creditos!$C$13&lt;&gt;"",Creditos!$M$13="OK",33&lt;=Creditos!$H$13),MAX(0,N458-L458),"")</f>
        <v/>
      </c>
      <c r="S458" s="46" t="str">
        <f>IF(AND(Creditos!$C$13&lt;&gt;"",Creditos!$M$13="OK",33&lt;=Creditos!$H$13),IF(R458&gt;0.005,"Exceso sin imputar",IF(P458&lt;=0.005,"Pagada",IF(E458&lt;Supuestos!$D$6,"Vencida",IF(E458=Supuestos!$D$6,"Vence hoy","Por vencer")))),"")</f>
        <v/>
      </c>
      <c r="T458" s="46">
        <f>IF(AND(Creditos!$C$13&lt;&gt;"",Creditos!$M$13="OK",33&lt;=Creditos!$H$13),IF(P458&gt;0.005,E458,999999),999999)</f>
        <v>999999</v>
      </c>
    </row>
    <row r="459" ht="25.5" customHeight="1">
      <c r="C459" s="46" t="str">
        <f>IF(AND(Creditos!$C$13&lt;&gt;"",Creditos!$M$13="OK",34&lt;=Creditos!$H$13),Creditos!$C$13,"")</f>
        <v/>
      </c>
      <c r="D459" s="46" t="str">
        <f>IF(AND(Creditos!$C$13&lt;&gt;"",Creditos!$M$13="OK",34&lt;=Creditos!$H$13),34,"")</f>
        <v/>
      </c>
      <c r="E459" s="47" t="str">
        <f>IF(AND(Creditos!$C$13&lt;&gt;"",Creditos!$M$13="OK",34&lt;=Creditos!$H$13),EDATE(Creditos!$I$13,33),"")</f>
        <v/>
      </c>
      <c r="F459" s="48" t="str">
        <f>IF(AND(Creditos!$C$13&lt;&gt;"",Creditos!$M$13="OK",34&lt;=Creditos!$H$13),M458,"")</f>
        <v/>
      </c>
      <c r="G459" s="49" t="str">
        <f>IF(AND(Creditos!$C$13&lt;&gt;"",Creditos!$M$13="OK",34&lt;=Creditos!$H$13),Creditos!$N$13,"")</f>
        <v/>
      </c>
      <c r="H459" s="48" t="str">
        <f>IF(AND(Creditos!$C$13&lt;&gt;"",Creditos!$M$13="OK",34&lt;=Creditos!$H$13),ROUND(F459*G459,2),"")</f>
        <v/>
      </c>
      <c r="I459" s="48" t="str">
        <f>IF(AND(Creditos!$C$13&lt;&gt;"",Creditos!$M$13="OK",34&lt;=Creditos!$H$13),IF(34=Creditos!$H$13,F459+H459,MIN(Creditos!$O$13,F459+H459)),"")</f>
        <v/>
      </c>
      <c r="J459" s="48" t="str">
        <f>IF(AND(Creditos!$C$13&lt;&gt;"",Creditos!$M$13="OK",34&lt;=Creditos!$H$13),MIN(F459,MAX(0,I459-H459)),"")</f>
        <v/>
      </c>
      <c r="K459" s="48" t="str">
        <f>IF(AND(Creditos!$C$13&lt;&gt;"",Creditos!$M$13="OK",34&lt;=Creditos!$H$13),Creditos!$J$13+Creditos!$K$13,"")</f>
        <v/>
      </c>
      <c r="L459" s="48" t="str">
        <f>IF(AND(Creditos!$C$13&lt;&gt;"",Creditos!$M$13="OK",34&lt;=Creditos!$H$13),I459+K459,"")</f>
        <v/>
      </c>
      <c r="M459" s="48" t="str">
        <f>IF(AND(Creditos!$C$13&lt;&gt;"",Creditos!$M$13="OK",34&lt;=Creditos!$H$13),MAX(0,F459-J459),"")</f>
        <v/>
      </c>
      <c r="N459" s="48" t="str">
        <f>IF(AND(Creditos!$C$13&lt;&gt;"",Creditos!$M$13="OK",34&lt;=Creditos!$H$13),SUMIFS(Pagos!$F$6:$F$305,Pagos!$C$6:$C$305,C459,Pagos!$D$6:$D$305,D459,Pagos!$E$6:$E$305,"&lt;="&amp;Supuestos!$D$6,Pagos!$H$6:$H$305,"OK"),"")</f>
        <v/>
      </c>
      <c r="O459" s="48" t="str">
        <f>IF(AND(Creditos!$C$13&lt;&gt;"",Creditos!$M$13="OK",34&lt;=Creditos!$H$13),MIN(J459,MAX(0,N459-K459-H459)),"")</f>
        <v/>
      </c>
      <c r="P459" s="48" t="str">
        <f>IF(AND(Creditos!$C$13&lt;&gt;"",Creditos!$M$13="OK",34&lt;=Creditos!$H$13),MAX(0,L459-N459),"")</f>
        <v/>
      </c>
      <c r="Q459" s="50" t="str">
        <f>IF(AND(Creditos!$C$13&lt;&gt;"",Creditos!$M$13="OK",34&lt;=Creditos!$H$13),IF(AND(E459&lt;Supuestos!$D$6,P459&gt;0.005),Supuestos!$D$6-E459,0),"")</f>
        <v/>
      </c>
      <c r="R459" s="48" t="str">
        <f>IF(AND(Creditos!$C$13&lt;&gt;"",Creditos!$M$13="OK",34&lt;=Creditos!$H$13),MAX(0,N459-L459),"")</f>
        <v/>
      </c>
      <c r="S459" s="46" t="str">
        <f>IF(AND(Creditos!$C$13&lt;&gt;"",Creditos!$M$13="OK",34&lt;=Creditos!$H$13),IF(R459&gt;0.005,"Exceso sin imputar",IF(P459&lt;=0.005,"Pagada",IF(E459&lt;Supuestos!$D$6,"Vencida",IF(E459=Supuestos!$D$6,"Vence hoy","Por vencer")))),"")</f>
        <v/>
      </c>
      <c r="T459" s="46">
        <f>IF(AND(Creditos!$C$13&lt;&gt;"",Creditos!$M$13="OK",34&lt;=Creditos!$H$13),IF(P459&gt;0.005,E459,999999),999999)</f>
        <v>999999</v>
      </c>
    </row>
    <row r="460" ht="25.5" customHeight="1">
      <c r="C460" s="46" t="str">
        <f>IF(AND(Creditos!$C$13&lt;&gt;"",Creditos!$M$13="OK",35&lt;=Creditos!$H$13),Creditos!$C$13,"")</f>
        <v/>
      </c>
      <c r="D460" s="46" t="str">
        <f>IF(AND(Creditos!$C$13&lt;&gt;"",Creditos!$M$13="OK",35&lt;=Creditos!$H$13),35,"")</f>
        <v/>
      </c>
      <c r="E460" s="47" t="str">
        <f>IF(AND(Creditos!$C$13&lt;&gt;"",Creditos!$M$13="OK",35&lt;=Creditos!$H$13),EDATE(Creditos!$I$13,34),"")</f>
        <v/>
      </c>
      <c r="F460" s="48" t="str">
        <f>IF(AND(Creditos!$C$13&lt;&gt;"",Creditos!$M$13="OK",35&lt;=Creditos!$H$13),M459,"")</f>
        <v/>
      </c>
      <c r="G460" s="49" t="str">
        <f>IF(AND(Creditos!$C$13&lt;&gt;"",Creditos!$M$13="OK",35&lt;=Creditos!$H$13),Creditos!$N$13,"")</f>
        <v/>
      </c>
      <c r="H460" s="48" t="str">
        <f>IF(AND(Creditos!$C$13&lt;&gt;"",Creditos!$M$13="OK",35&lt;=Creditos!$H$13),ROUND(F460*G460,2),"")</f>
        <v/>
      </c>
      <c r="I460" s="48" t="str">
        <f>IF(AND(Creditos!$C$13&lt;&gt;"",Creditos!$M$13="OK",35&lt;=Creditos!$H$13),IF(35=Creditos!$H$13,F460+H460,MIN(Creditos!$O$13,F460+H460)),"")</f>
        <v/>
      </c>
      <c r="J460" s="48" t="str">
        <f>IF(AND(Creditos!$C$13&lt;&gt;"",Creditos!$M$13="OK",35&lt;=Creditos!$H$13),MIN(F460,MAX(0,I460-H460)),"")</f>
        <v/>
      </c>
      <c r="K460" s="48" t="str">
        <f>IF(AND(Creditos!$C$13&lt;&gt;"",Creditos!$M$13="OK",35&lt;=Creditos!$H$13),Creditos!$J$13+Creditos!$K$13,"")</f>
        <v/>
      </c>
      <c r="L460" s="48" t="str">
        <f>IF(AND(Creditos!$C$13&lt;&gt;"",Creditos!$M$13="OK",35&lt;=Creditos!$H$13),I460+K460,"")</f>
        <v/>
      </c>
      <c r="M460" s="48" t="str">
        <f>IF(AND(Creditos!$C$13&lt;&gt;"",Creditos!$M$13="OK",35&lt;=Creditos!$H$13),MAX(0,F460-J460),"")</f>
        <v/>
      </c>
      <c r="N460" s="48" t="str">
        <f>IF(AND(Creditos!$C$13&lt;&gt;"",Creditos!$M$13="OK",35&lt;=Creditos!$H$13),SUMIFS(Pagos!$F$6:$F$305,Pagos!$C$6:$C$305,C460,Pagos!$D$6:$D$305,D460,Pagos!$E$6:$E$305,"&lt;="&amp;Supuestos!$D$6,Pagos!$H$6:$H$305,"OK"),"")</f>
        <v/>
      </c>
      <c r="O460" s="48" t="str">
        <f>IF(AND(Creditos!$C$13&lt;&gt;"",Creditos!$M$13="OK",35&lt;=Creditos!$H$13),MIN(J460,MAX(0,N460-K460-H460)),"")</f>
        <v/>
      </c>
      <c r="P460" s="48" t="str">
        <f>IF(AND(Creditos!$C$13&lt;&gt;"",Creditos!$M$13="OK",35&lt;=Creditos!$H$13),MAX(0,L460-N460),"")</f>
        <v/>
      </c>
      <c r="Q460" s="50" t="str">
        <f>IF(AND(Creditos!$C$13&lt;&gt;"",Creditos!$M$13="OK",35&lt;=Creditos!$H$13),IF(AND(E460&lt;Supuestos!$D$6,P460&gt;0.005),Supuestos!$D$6-E460,0),"")</f>
        <v/>
      </c>
      <c r="R460" s="48" t="str">
        <f>IF(AND(Creditos!$C$13&lt;&gt;"",Creditos!$M$13="OK",35&lt;=Creditos!$H$13),MAX(0,N460-L460),"")</f>
        <v/>
      </c>
      <c r="S460" s="46" t="str">
        <f>IF(AND(Creditos!$C$13&lt;&gt;"",Creditos!$M$13="OK",35&lt;=Creditos!$H$13),IF(R460&gt;0.005,"Exceso sin imputar",IF(P460&lt;=0.005,"Pagada",IF(E460&lt;Supuestos!$D$6,"Vencida",IF(E460=Supuestos!$D$6,"Vence hoy","Por vencer")))),"")</f>
        <v/>
      </c>
      <c r="T460" s="46">
        <f>IF(AND(Creditos!$C$13&lt;&gt;"",Creditos!$M$13="OK",35&lt;=Creditos!$H$13),IF(P460&gt;0.005,E460,999999),999999)</f>
        <v>999999</v>
      </c>
    </row>
    <row r="461" ht="25.5" customHeight="1">
      <c r="C461" s="46" t="str">
        <f>IF(AND(Creditos!$C$13&lt;&gt;"",Creditos!$M$13="OK",36&lt;=Creditos!$H$13),Creditos!$C$13,"")</f>
        <v/>
      </c>
      <c r="D461" s="46" t="str">
        <f>IF(AND(Creditos!$C$13&lt;&gt;"",Creditos!$M$13="OK",36&lt;=Creditos!$H$13),36,"")</f>
        <v/>
      </c>
      <c r="E461" s="47" t="str">
        <f>IF(AND(Creditos!$C$13&lt;&gt;"",Creditos!$M$13="OK",36&lt;=Creditos!$H$13),EDATE(Creditos!$I$13,35),"")</f>
        <v/>
      </c>
      <c r="F461" s="48" t="str">
        <f>IF(AND(Creditos!$C$13&lt;&gt;"",Creditos!$M$13="OK",36&lt;=Creditos!$H$13),M460,"")</f>
        <v/>
      </c>
      <c r="G461" s="49" t="str">
        <f>IF(AND(Creditos!$C$13&lt;&gt;"",Creditos!$M$13="OK",36&lt;=Creditos!$H$13),Creditos!$N$13,"")</f>
        <v/>
      </c>
      <c r="H461" s="48" t="str">
        <f>IF(AND(Creditos!$C$13&lt;&gt;"",Creditos!$M$13="OK",36&lt;=Creditos!$H$13),ROUND(F461*G461,2),"")</f>
        <v/>
      </c>
      <c r="I461" s="48" t="str">
        <f>IF(AND(Creditos!$C$13&lt;&gt;"",Creditos!$M$13="OK",36&lt;=Creditos!$H$13),IF(36=Creditos!$H$13,F461+H461,MIN(Creditos!$O$13,F461+H461)),"")</f>
        <v/>
      </c>
      <c r="J461" s="48" t="str">
        <f>IF(AND(Creditos!$C$13&lt;&gt;"",Creditos!$M$13="OK",36&lt;=Creditos!$H$13),MIN(F461,MAX(0,I461-H461)),"")</f>
        <v/>
      </c>
      <c r="K461" s="48" t="str">
        <f>IF(AND(Creditos!$C$13&lt;&gt;"",Creditos!$M$13="OK",36&lt;=Creditos!$H$13),Creditos!$J$13+Creditos!$K$13,"")</f>
        <v/>
      </c>
      <c r="L461" s="48" t="str">
        <f>IF(AND(Creditos!$C$13&lt;&gt;"",Creditos!$M$13="OK",36&lt;=Creditos!$H$13),I461+K461,"")</f>
        <v/>
      </c>
      <c r="M461" s="48" t="str">
        <f>IF(AND(Creditos!$C$13&lt;&gt;"",Creditos!$M$13="OK",36&lt;=Creditos!$H$13),MAX(0,F461-J461),"")</f>
        <v/>
      </c>
      <c r="N461" s="48" t="str">
        <f>IF(AND(Creditos!$C$13&lt;&gt;"",Creditos!$M$13="OK",36&lt;=Creditos!$H$13),SUMIFS(Pagos!$F$6:$F$305,Pagos!$C$6:$C$305,C461,Pagos!$D$6:$D$305,D461,Pagos!$E$6:$E$305,"&lt;="&amp;Supuestos!$D$6,Pagos!$H$6:$H$305,"OK"),"")</f>
        <v/>
      </c>
      <c r="O461" s="48" t="str">
        <f>IF(AND(Creditos!$C$13&lt;&gt;"",Creditos!$M$13="OK",36&lt;=Creditos!$H$13),MIN(J461,MAX(0,N461-K461-H461)),"")</f>
        <v/>
      </c>
      <c r="P461" s="48" t="str">
        <f>IF(AND(Creditos!$C$13&lt;&gt;"",Creditos!$M$13="OK",36&lt;=Creditos!$H$13),MAX(0,L461-N461),"")</f>
        <v/>
      </c>
      <c r="Q461" s="50" t="str">
        <f>IF(AND(Creditos!$C$13&lt;&gt;"",Creditos!$M$13="OK",36&lt;=Creditos!$H$13),IF(AND(E461&lt;Supuestos!$D$6,P461&gt;0.005),Supuestos!$D$6-E461,0),"")</f>
        <v/>
      </c>
      <c r="R461" s="48" t="str">
        <f>IF(AND(Creditos!$C$13&lt;&gt;"",Creditos!$M$13="OK",36&lt;=Creditos!$H$13),MAX(0,N461-L461),"")</f>
        <v/>
      </c>
      <c r="S461" s="46" t="str">
        <f>IF(AND(Creditos!$C$13&lt;&gt;"",Creditos!$M$13="OK",36&lt;=Creditos!$H$13),IF(R461&gt;0.005,"Exceso sin imputar",IF(P461&lt;=0.005,"Pagada",IF(E461&lt;Supuestos!$D$6,"Vencida",IF(E461=Supuestos!$D$6,"Vence hoy","Por vencer")))),"")</f>
        <v/>
      </c>
      <c r="T461" s="46">
        <f>IF(AND(Creditos!$C$13&lt;&gt;"",Creditos!$M$13="OK",36&lt;=Creditos!$H$13),IF(P461&gt;0.005,E461,999999),999999)</f>
        <v>999999</v>
      </c>
    </row>
    <row r="462" ht="25.5" customHeight="1">
      <c r="C462" s="46" t="str">
        <f>IF(AND(Creditos!$C$13&lt;&gt;"",Creditos!$M$13="OK",37&lt;=Creditos!$H$13),Creditos!$C$13,"")</f>
        <v/>
      </c>
      <c r="D462" s="46" t="str">
        <f>IF(AND(Creditos!$C$13&lt;&gt;"",Creditos!$M$13="OK",37&lt;=Creditos!$H$13),37,"")</f>
        <v/>
      </c>
      <c r="E462" s="47" t="str">
        <f>IF(AND(Creditos!$C$13&lt;&gt;"",Creditos!$M$13="OK",37&lt;=Creditos!$H$13),EDATE(Creditos!$I$13,36),"")</f>
        <v/>
      </c>
      <c r="F462" s="48" t="str">
        <f>IF(AND(Creditos!$C$13&lt;&gt;"",Creditos!$M$13="OK",37&lt;=Creditos!$H$13),M461,"")</f>
        <v/>
      </c>
      <c r="G462" s="49" t="str">
        <f>IF(AND(Creditos!$C$13&lt;&gt;"",Creditos!$M$13="OK",37&lt;=Creditos!$H$13),Creditos!$N$13,"")</f>
        <v/>
      </c>
      <c r="H462" s="48" t="str">
        <f>IF(AND(Creditos!$C$13&lt;&gt;"",Creditos!$M$13="OK",37&lt;=Creditos!$H$13),ROUND(F462*G462,2),"")</f>
        <v/>
      </c>
      <c r="I462" s="48" t="str">
        <f>IF(AND(Creditos!$C$13&lt;&gt;"",Creditos!$M$13="OK",37&lt;=Creditos!$H$13),IF(37=Creditos!$H$13,F462+H462,MIN(Creditos!$O$13,F462+H462)),"")</f>
        <v/>
      </c>
      <c r="J462" s="48" t="str">
        <f>IF(AND(Creditos!$C$13&lt;&gt;"",Creditos!$M$13="OK",37&lt;=Creditos!$H$13),MIN(F462,MAX(0,I462-H462)),"")</f>
        <v/>
      </c>
      <c r="K462" s="48" t="str">
        <f>IF(AND(Creditos!$C$13&lt;&gt;"",Creditos!$M$13="OK",37&lt;=Creditos!$H$13),Creditos!$J$13+Creditos!$K$13,"")</f>
        <v/>
      </c>
      <c r="L462" s="48" t="str">
        <f>IF(AND(Creditos!$C$13&lt;&gt;"",Creditos!$M$13="OK",37&lt;=Creditos!$H$13),I462+K462,"")</f>
        <v/>
      </c>
      <c r="M462" s="48" t="str">
        <f>IF(AND(Creditos!$C$13&lt;&gt;"",Creditos!$M$13="OK",37&lt;=Creditos!$H$13),MAX(0,F462-J462),"")</f>
        <v/>
      </c>
      <c r="N462" s="48" t="str">
        <f>IF(AND(Creditos!$C$13&lt;&gt;"",Creditos!$M$13="OK",37&lt;=Creditos!$H$13),SUMIFS(Pagos!$F$6:$F$305,Pagos!$C$6:$C$305,C462,Pagos!$D$6:$D$305,D462,Pagos!$E$6:$E$305,"&lt;="&amp;Supuestos!$D$6,Pagos!$H$6:$H$305,"OK"),"")</f>
        <v/>
      </c>
      <c r="O462" s="48" t="str">
        <f>IF(AND(Creditos!$C$13&lt;&gt;"",Creditos!$M$13="OK",37&lt;=Creditos!$H$13),MIN(J462,MAX(0,N462-K462-H462)),"")</f>
        <v/>
      </c>
      <c r="P462" s="48" t="str">
        <f>IF(AND(Creditos!$C$13&lt;&gt;"",Creditos!$M$13="OK",37&lt;=Creditos!$H$13),MAX(0,L462-N462),"")</f>
        <v/>
      </c>
      <c r="Q462" s="50" t="str">
        <f>IF(AND(Creditos!$C$13&lt;&gt;"",Creditos!$M$13="OK",37&lt;=Creditos!$H$13),IF(AND(E462&lt;Supuestos!$D$6,P462&gt;0.005),Supuestos!$D$6-E462,0),"")</f>
        <v/>
      </c>
      <c r="R462" s="48" t="str">
        <f>IF(AND(Creditos!$C$13&lt;&gt;"",Creditos!$M$13="OK",37&lt;=Creditos!$H$13),MAX(0,N462-L462),"")</f>
        <v/>
      </c>
      <c r="S462" s="46" t="str">
        <f>IF(AND(Creditos!$C$13&lt;&gt;"",Creditos!$M$13="OK",37&lt;=Creditos!$H$13),IF(R462&gt;0.005,"Exceso sin imputar",IF(P462&lt;=0.005,"Pagada",IF(E462&lt;Supuestos!$D$6,"Vencida",IF(E462=Supuestos!$D$6,"Vence hoy","Por vencer")))),"")</f>
        <v/>
      </c>
      <c r="T462" s="46">
        <f>IF(AND(Creditos!$C$13&lt;&gt;"",Creditos!$M$13="OK",37&lt;=Creditos!$H$13),IF(P462&gt;0.005,E462,999999),999999)</f>
        <v>999999</v>
      </c>
    </row>
    <row r="463" ht="25.5" customHeight="1">
      <c r="C463" s="46" t="str">
        <f>IF(AND(Creditos!$C$13&lt;&gt;"",Creditos!$M$13="OK",38&lt;=Creditos!$H$13),Creditos!$C$13,"")</f>
        <v/>
      </c>
      <c r="D463" s="46" t="str">
        <f>IF(AND(Creditos!$C$13&lt;&gt;"",Creditos!$M$13="OK",38&lt;=Creditos!$H$13),38,"")</f>
        <v/>
      </c>
      <c r="E463" s="47" t="str">
        <f>IF(AND(Creditos!$C$13&lt;&gt;"",Creditos!$M$13="OK",38&lt;=Creditos!$H$13),EDATE(Creditos!$I$13,37),"")</f>
        <v/>
      </c>
      <c r="F463" s="48" t="str">
        <f>IF(AND(Creditos!$C$13&lt;&gt;"",Creditos!$M$13="OK",38&lt;=Creditos!$H$13),M462,"")</f>
        <v/>
      </c>
      <c r="G463" s="49" t="str">
        <f>IF(AND(Creditos!$C$13&lt;&gt;"",Creditos!$M$13="OK",38&lt;=Creditos!$H$13),Creditos!$N$13,"")</f>
        <v/>
      </c>
      <c r="H463" s="48" t="str">
        <f>IF(AND(Creditos!$C$13&lt;&gt;"",Creditos!$M$13="OK",38&lt;=Creditos!$H$13),ROUND(F463*G463,2),"")</f>
        <v/>
      </c>
      <c r="I463" s="48" t="str">
        <f>IF(AND(Creditos!$C$13&lt;&gt;"",Creditos!$M$13="OK",38&lt;=Creditos!$H$13),IF(38=Creditos!$H$13,F463+H463,MIN(Creditos!$O$13,F463+H463)),"")</f>
        <v/>
      </c>
      <c r="J463" s="48" t="str">
        <f>IF(AND(Creditos!$C$13&lt;&gt;"",Creditos!$M$13="OK",38&lt;=Creditos!$H$13),MIN(F463,MAX(0,I463-H463)),"")</f>
        <v/>
      </c>
      <c r="K463" s="48" t="str">
        <f>IF(AND(Creditos!$C$13&lt;&gt;"",Creditos!$M$13="OK",38&lt;=Creditos!$H$13),Creditos!$J$13+Creditos!$K$13,"")</f>
        <v/>
      </c>
      <c r="L463" s="48" t="str">
        <f>IF(AND(Creditos!$C$13&lt;&gt;"",Creditos!$M$13="OK",38&lt;=Creditos!$H$13),I463+K463,"")</f>
        <v/>
      </c>
      <c r="M463" s="48" t="str">
        <f>IF(AND(Creditos!$C$13&lt;&gt;"",Creditos!$M$13="OK",38&lt;=Creditos!$H$13),MAX(0,F463-J463),"")</f>
        <v/>
      </c>
      <c r="N463" s="48" t="str">
        <f>IF(AND(Creditos!$C$13&lt;&gt;"",Creditos!$M$13="OK",38&lt;=Creditos!$H$13),SUMIFS(Pagos!$F$6:$F$305,Pagos!$C$6:$C$305,C463,Pagos!$D$6:$D$305,D463,Pagos!$E$6:$E$305,"&lt;="&amp;Supuestos!$D$6,Pagos!$H$6:$H$305,"OK"),"")</f>
        <v/>
      </c>
      <c r="O463" s="48" t="str">
        <f>IF(AND(Creditos!$C$13&lt;&gt;"",Creditos!$M$13="OK",38&lt;=Creditos!$H$13),MIN(J463,MAX(0,N463-K463-H463)),"")</f>
        <v/>
      </c>
      <c r="P463" s="48" t="str">
        <f>IF(AND(Creditos!$C$13&lt;&gt;"",Creditos!$M$13="OK",38&lt;=Creditos!$H$13),MAX(0,L463-N463),"")</f>
        <v/>
      </c>
      <c r="Q463" s="50" t="str">
        <f>IF(AND(Creditos!$C$13&lt;&gt;"",Creditos!$M$13="OK",38&lt;=Creditos!$H$13),IF(AND(E463&lt;Supuestos!$D$6,P463&gt;0.005),Supuestos!$D$6-E463,0),"")</f>
        <v/>
      </c>
      <c r="R463" s="48" t="str">
        <f>IF(AND(Creditos!$C$13&lt;&gt;"",Creditos!$M$13="OK",38&lt;=Creditos!$H$13),MAX(0,N463-L463),"")</f>
        <v/>
      </c>
      <c r="S463" s="46" t="str">
        <f>IF(AND(Creditos!$C$13&lt;&gt;"",Creditos!$M$13="OK",38&lt;=Creditos!$H$13),IF(R463&gt;0.005,"Exceso sin imputar",IF(P463&lt;=0.005,"Pagada",IF(E463&lt;Supuestos!$D$6,"Vencida",IF(E463=Supuestos!$D$6,"Vence hoy","Por vencer")))),"")</f>
        <v/>
      </c>
      <c r="T463" s="46">
        <f>IF(AND(Creditos!$C$13&lt;&gt;"",Creditos!$M$13="OK",38&lt;=Creditos!$H$13),IF(P463&gt;0.005,E463,999999),999999)</f>
        <v>999999</v>
      </c>
    </row>
    <row r="464" ht="25.5" customHeight="1">
      <c r="C464" s="46" t="str">
        <f>IF(AND(Creditos!$C$13&lt;&gt;"",Creditos!$M$13="OK",39&lt;=Creditos!$H$13),Creditos!$C$13,"")</f>
        <v/>
      </c>
      <c r="D464" s="46" t="str">
        <f>IF(AND(Creditos!$C$13&lt;&gt;"",Creditos!$M$13="OK",39&lt;=Creditos!$H$13),39,"")</f>
        <v/>
      </c>
      <c r="E464" s="47" t="str">
        <f>IF(AND(Creditos!$C$13&lt;&gt;"",Creditos!$M$13="OK",39&lt;=Creditos!$H$13),EDATE(Creditos!$I$13,38),"")</f>
        <v/>
      </c>
      <c r="F464" s="48" t="str">
        <f>IF(AND(Creditos!$C$13&lt;&gt;"",Creditos!$M$13="OK",39&lt;=Creditos!$H$13),M463,"")</f>
        <v/>
      </c>
      <c r="G464" s="49" t="str">
        <f>IF(AND(Creditos!$C$13&lt;&gt;"",Creditos!$M$13="OK",39&lt;=Creditos!$H$13),Creditos!$N$13,"")</f>
        <v/>
      </c>
      <c r="H464" s="48" t="str">
        <f>IF(AND(Creditos!$C$13&lt;&gt;"",Creditos!$M$13="OK",39&lt;=Creditos!$H$13),ROUND(F464*G464,2),"")</f>
        <v/>
      </c>
      <c r="I464" s="48" t="str">
        <f>IF(AND(Creditos!$C$13&lt;&gt;"",Creditos!$M$13="OK",39&lt;=Creditos!$H$13),IF(39=Creditos!$H$13,F464+H464,MIN(Creditos!$O$13,F464+H464)),"")</f>
        <v/>
      </c>
      <c r="J464" s="48" t="str">
        <f>IF(AND(Creditos!$C$13&lt;&gt;"",Creditos!$M$13="OK",39&lt;=Creditos!$H$13),MIN(F464,MAX(0,I464-H464)),"")</f>
        <v/>
      </c>
      <c r="K464" s="48" t="str">
        <f>IF(AND(Creditos!$C$13&lt;&gt;"",Creditos!$M$13="OK",39&lt;=Creditos!$H$13),Creditos!$J$13+Creditos!$K$13,"")</f>
        <v/>
      </c>
      <c r="L464" s="48" t="str">
        <f>IF(AND(Creditos!$C$13&lt;&gt;"",Creditos!$M$13="OK",39&lt;=Creditos!$H$13),I464+K464,"")</f>
        <v/>
      </c>
      <c r="M464" s="48" t="str">
        <f>IF(AND(Creditos!$C$13&lt;&gt;"",Creditos!$M$13="OK",39&lt;=Creditos!$H$13),MAX(0,F464-J464),"")</f>
        <v/>
      </c>
      <c r="N464" s="48" t="str">
        <f>IF(AND(Creditos!$C$13&lt;&gt;"",Creditos!$M$13="OK",39&lt;=Creditos!$H$13),SUMIFS(Pagos!$F$6:$F$305,Pagos!$C$6:$C$305,C464,Pagos!$D$6:$D$305,D464,Pagos!$E$6:$E$305,"&lt;="&amp;Supuestos!$D$6,Pagos!$H$6:$H$305,"OK"),"")</f>
        <v/>
      </c>
      <c r="O464" s="48" t="str">
        <f>IF(AND(Creditos!$C$13&lt;&gt;"",Creditos!$M$13="OK",39&lt;=Creditos!$H$13),MIN(J464,MAX(0,N464-K464-H464)),"")</f>
        <v/>
      </c>
      <c r="P464" s="48" t="str">
        <f>IF(AND(Creditos!$C$13&lt;&gt;"",Creditos!$M$13="OK",39&lt;=Creditos!$H$13),MAX(0,L464-N464),"")</f>
        <v/>
      </c>
      <c r="Q464" s="50" t="str">
        <f>IF(AND(Creditos!$C$13&lt;&gt;"",Creditos!$M$13="OK",39&lt;=Creditos!$H$13),IF(AND(E464&lt;Supuestos!$D$6,P464&gt;0.005),Supuestos!$D$6-E464,0),"")</f>
        <v/>
      </c>
      <c r="R464" s="48" t="str">
        <f>IF(AND(Creditos!$C$13&lt;&gt;"",Creditos!$M$13="OK",39&lt;=Creditos!$H$13),MAX(0,N464-L464),"")</f>
        <v/>
      </c>
      <c r="S464" s="46" t="str">
        <f>IF(AND(Creditos!$C$13&lt;&gt;"",Creditos!$M$13="OK",39&lt;=Creditos!$H$13),IF(R464&gt;0.005,"Exceso sin imputar",IF(P464&lt;=0.005,"Pagada",IF(E464&lt;Supuestos!$D$6,"Vencida",IF(E464=Supuestos!$D$6,"Vence hoy","Por vencer")))),"")</f>
        <v/>
      </c>
      <c r="T464" s="46">
        <f>IF(AND(Creditos!$C$13&lt;&gt;"",Creditos!$M$13="OK",39&lt;=Creditos!$H$13),IF(P464&gt;0.005,E464,999999),999999)</f>
        <v>999999</v>
      </c>
    </row>
    <row r="465" ht="25.5" customHeight="1">
      <c r="C465" s="46" t="str">
        <f>IF(AND(Creditos!$C$13&lt;&gt;"",Creditos!$M$13="OK",40&lt;=Creditos!$H$13),Creditos!$C$13,"")</f>
        <v/>
      </c>
      <c r="D465" s="46" t="str">
        <f>IF(AND(Creditos!$C$13&lt;&gt;"",Creditos!$M$13="OK",40&lt;=Creditos!$H$13),40,"")</f>
        <v/>
      </c>
      <c r="E465" s="47" t="str">
        <f>IF(AND(Creditos!$C$13&lt;&gt;"",Creditos!$M$13="OK",40&lt;=Creditos!$H$13),EDATE(Creditos!$I$13,39),"")</f>
        <v/>
      </c>
      <c r="F465" s="48" t="str">
        <f>IF(AND(Creditos!$C$13&lt;&gt;"",Creditos!$M$13="OK",40&lt;=Creditos!$H$13),M464,"")</f>
        <v/>
      </c>
      <c r="G465" s="49" t="str">
        <f>IF(AND(Creditos!$C$13&lt;&gt;"",Creditos!$M$13="OK",40&lt;=Creditos!$H$13),Creditos!$N$13,"")</f>
        <v/>
      </c>
      <c r="H465" s="48" t="str">
        <f>IF(AND(Creditos!$C$13&lt;&gt;"",Creditos!$M$13="OK",40&lt;=Creditos!$H$13),ROUND(F465*G465,2),"")</f>
        <v/>
      </c>
      <c r="I465" s="48" t="str">
        <f>IF(AND(Creditos!$C$13&lt;&gt;"",Creditos!$M$13="OK",40&lt;=Creditos!$H$13),IF(40=Creditos!$H$13,F465+H465,MIN(Creditos!$O$13,F465+H465)),"")</f>
        <v/>
      </c>
      <c r="J465" s="48" t="str">
        <f>IF(AND(Creditos!$C$13&lt;&gt;"",Creditos!$M$13="OK",40&lt;=Creditos!$H$13),MIN(F465,MAX(0,I465-H465)),"")</f>
        <v/>
      </c>
      <c r="K465" s="48" t="str">
        <f>IF(AND(Creditos!$C$13&lt;&gt;"",Creditos!$M$13="OK",40&lt;=Creditos!$H$13),Creditos!$J$13+Creditos!$K$13,"")</f>
        <v/>
      </c>
      <c r="L465" s="48" t="str">
        <f>IF(AND(Creditos!$C$13&lt;&gt;"",Creditos!$M$13="OK",40&lt;=Creditos!$H$13),I465+K465,"")</f>
        <v/>
      </c>
      <c r="M465" s="48" t="str">
        <f>IF(AND(Creditos!$C$13&lt;&gt;"",Creditos!$M$13="OK",40&lt;=Creditos!$H$13),MAX(0,F465-J465),"")</f>
        <v/>
      </c>
      <c r="N465" s="48" t="str">
        <f>IF(AND(Creditos!$C$13&lt;&gt;"",Creditos!$M$13="OK",40&lt;=Creditos!$H$13),SUMIFS(Pagos!$F$6:$F$305,Pagos!$C$6:$C$305,C465,Pagos!$D$6:$D$305,D465,Pagos!$E$6:$E$305,"&lt;="&amp;Supuestos!$D$6,Pagos!$H$6:$H$305,"OK"),"")</f>
        <v/>
      </c>
      <c r="O465" s="48" t="str">
        <f>IF(AND(Creditos!$C$13&lt;&gt;"",Creditos!$M$13="OK",40&lt;=Creditos!$H$13),MIN(J465,MAX(0,N465-K465-H465)),"")</f>
        <v/>
      </c>
      <c r="P465" s="48" t="str">
        <f>IF(AND(Creditos!$C$13&lt;&gt;"",Creditos!$M$13="OK",40&lt;=Creditos!$H$13),MAX(0,L465-N465),"")</f>
        <v/>
      </c>
      <c r="Q465" s="50" t="str">
        <f>IF(AND(Creditos!$C$13&lt;&gt;"",Creditos!$M$13="OK",40&lt;=Creditos!$H$13),IF(AND(E465&lt;Supuestos!$D$6,P465&gt;0.005),Supuestos!$D$6-E465,0),"")</f>
        <v/>
      </c>
      <c r="R465" s="48" t="str">
        <f>IF(AND(Creditos!$C$13&lt;&gt;"",Creditos!$M$13="OK",40&lt;=Creditos!$H$13),MAX(0,N465-L465),"")</f>
        <v/>
      </c>
      <c r="S465" s="46" t="str">
        <f>IF(AND(Creditos!$C$13&lt;&gt;"",Creditos!$M$13="OK",40&lt;=Creditos!$H$13),IF(R465&gt;0.005,"Exceso sin imputar",IF(P465&lt;=0.005,"Pagada",IF(E465&lt;Supuestos!$D$6,"Vencida",IF(E465=Supuestos!$D$6,"Vence hoy","Por vencer")))),"")</f>
        <v/>
      </c>
      <c r="T465" s="46">
        <f>IF(AND(Creditos!$C$13&lt;&gt;"",Creditos!$M$13="OK",40&lt;=Creditos!$H$13),IF(P465&gt;0.005,E465,999999),999999)</f>
        <v>999999</v>
      </c>
    </row>
    <row r="466" ht="25.5" customHeight="1">
      <c r="C466" s="46" t="str">
        <f>IF(AND(Creditos!$C$13&lt;&gt;"",Creditos!$M$13="OK",41&lt;=Creditos!$H$13),Creditos!$C$13,"")</f>
        <v/>
      </c>
      <c r="D466" s="46" t="str">
        <f>IF(AND(Creditos!$C$13&lt;&gt;"",Creditos!$M$13="OK",41&lt;=Creditos!$H$13),41,"")</f>
        <v/>
      </c>
      <c r="E466" s="47" t="str">
        <f>IF(AND(Creditos!$C$13&lt;&gt;"",Creditos!$M$13="OK",41&lt;=Creditos!$H$13),EDATE(Creditos!$I$13,40),"")</f>
        <v/>
      </c>
      <c r="F466" s="48" t="str">
        <f>IF(AND(Creditos!$C$13&lt;&gt;"",Creditos!$M$13="OK",41&lt;=Creditos!$H$13),M465,"")</f>
        <v/>
      </c>
      <c r="G466" s="49" t="str">
        <f>IF(AND(Creditos!$C$13&lt;&gt;"",Creditos!$M$13="OK",41&lt;=Creditos!$H$13),Creditos!$N$13,"")</f>
        <v/>
      </c>
      <c r="H466" s="48" t="str">
        <f>IF(AND(Creditos!$C$13&lt;&gt;"",Creditos!$M$13="OK",41&lt;=Creditos!$H$13),ROUND(F466*G466,2),"")</f>
        <v/>
      </c>
      <c r="I466" s="48" t="str">
        <f>IF(AND(Creditos!$C$13&lt;&gt;"",Creditos!$M$13="OK",41&lt;=Creditos!$H$13),IF(41=Creditos!$H$13,F466+H466,MIN(Creditos!$O$13,F466+H466)),"")</f>
        <v/>
      </c>
      <c r="J466" s="48" t="str">
        <f>IF(AND(Creditos!$C$13&lt;&gt;"",Creditos!$M$13="OK",41&lt;=Creditos!$H$13),MIN(F466,MAX(0,I466-H466)),"")</f>
        <v/>
      </c>
      <c r="K466" s="48" t="str">
        <f>IF(AND(Creditos!$C$13&lt;&gt;"",Creditos!$M$13="OK",41&lt;=Creditos!$H$13),Creditos!$J$13+Creditos!$K$13,"")</f>
        <v/>
      </c>
      <c r="L466" s="48" t="str">
        <f>IF(AND(Creditos!$C$13&lt;&gt;"",Creditos!$M$13="OK",41&lt;=Creditos!$H$13),I466+K466,"")</f>
        <v/>
      </c>
      <c r="M466" s="48" t="str">
        <f>IF(AND(Creditos!$C$13&lt;&gt;"",Creditos!$M$13="OK",41&lt;=Creditos!$H$13),MAX(0,F466-J466),"")</f>
        <v/>
      </c>
      <c r="N466" s="48" t="str">
        <f>IF(AND(Creditos!$C$13&lt;&gt;"",Creditos!$M$13="OK",41&lt;=Creditos!$H$13),SUMIFS(Pagos!$F$6:$F$305,Pagos!$C$6:$C$305,C466,Pagos!$D$6:$D$305,D466,Pagos!$E$6:$E$305,"&lt;="&amp;Supuestos!$D$6,Pagos!$H$6:$H$305,"OK"),"")</f>
        <v/>
      </c>
      <c r="O466" s="48" t="str">
        <f>IF(AND(Creditos!$C$13&lt;&gt;"",Creditos!$M$13="OK",41&lt;=Creditos!$H$13),MIN(J466,MAX(0,N466-K466-H466)),"")</f>
        <v/>
      </c>
      <c r="P466" s="48" t="str">
        <f>IF(AND(Creditos!$C$13&lt;&gt;"",Creditos!$M$13="OK",41&lt;=Creditos!$H$13),MAX(0,L466-N466),"")</f>
        <v/>
      </c>
      <c r="Q466" s="50" t="str">
        <f>IF(AND(Creditos!$C$13&lt;&gt;"",Creditos!$M$13="OK",41&lt;=Creditos!$H$13),IF(AND(E466&lt;Supuestos!$D$6,P466&gt;0.005),Supuestos!$D$6-E466,0),"")</f>
        <v/>
      </c>
      <c r="R466" s="48" t="str">
        <f>IF(AND(Creditos!$C$13&lt;&gt;"",Creditos!$M$13="OK",41&lt;=Creditos!$H$13),MAX(0,N466-L466),"")</f>
        <v/>
      </c>
      <c r="S466" s="46" t="str">
        <f>IF(AND(Creditos!$C$13&lt;&gt;"",Creditos!$M$13="OK",41&lt;=Creditos!$H$13),IF(R466&gt;0.005,"Exceso sin imputar",IF(P466&lt;=0.005,"Pagada",IF(E466&lt;Supuestos!$D$6,"Vencida",IF(E466=Supuestos!$D$6,"Vence hoy","Por vencer")))),"")</f>
        <v/>
      </c>
      <c r="T466" s="46">
        <f>IF(AND(Creditos!$C$13&lt;&gt;"",Creditos!$M$13="OK",41&lt;=Creditos!$H$13),IF(P466&gt;0.005,E466,999999),999999)</f>
        <v>999999</v>
      </c>
    </row>
    <row r="467" ht="25.5" customHeight="1">
      <c r="C467" s="46" t="str">
        <f>IF(AND(Creditos!$C$13&lt;&gt;"",Creditos!$M$13="OK",42&lt;=Creditos!$H$13),Creditos!$C$13,"")</f>
        <v/>
      </c>
      <c r="D467" s="46" t="str">
        <f>IF(AND(Creditos!$C$13&lt;&gt;"",Creditos!$M$13="OK",42&lt;=Creditos!$H$13),42,"")</f>
        <v/>
      </c>
      <c r="E467" s="47" t="str">
        <f>IF(AND(Creditos!$C$13&lt;&gt;"",Creditos!$M$13="OK",42&lt;=Creditos!$H$13),EDATE(Creditos!$I$13,41),"")</f>
        <v/>
      </c>
      <c r="F467" s="48" t="str">
        <f>IF(AND(Creditos!$C$13&lt;&gt;"",Creditos!$M$13="OK",42&lt;=Creditos!$H$13),M466,"")</f>
        <v/>
      </c>
      <c r="G467" s="49" t="str">
        <f>IF(AND(Creditos!$C$13&lt;&gt;"",Creditos!$M$13="OK",42&lt;=Creditos!$H$13),Creditos!$N$13,"")</f>
        <v/>
      </c>
      <c r="H467" s="48" t="str">
        <f>IF(AND(Creditos!$C$13&lt;&gt;"",Creditos!$M$13="OK",42&lt;=Creditos!$H$13),ROUND(F467*G467,2),"")</f>
        <v/>
      </c>
      <c r="I467" s="48" t="str">
        <f>IF(AND(Creditos!$C$13&lt;&gt;"",Creditos!$M$13="OK",42&lt;=Creditos!$H$13),IF(42=Creditos!$H$13,F467+H467,MIN(Creditos!$O$13,F467+H467)),"")</f>
        <v/>
      </c>
      <c r="J467" s="48" t="str">
        <f>IF(AND(Creditos!$C$13&lt;&gt;"",Creditos!$M$13="OK",42&lt;=Creditos!$H$13),MIN(F467,MAX(0,I467-H467)),"")</f>
        <v/>
      </c>
      <c r="K467" s="48" t="str">
        <f>IF(AND(Creditos!$C$13&lt;&gt;"",Creditos!$M$13="OK",42&lt;=Creditos!$H$13),Creditos!$J$13+Creditos!$K$13,"")</f>
        <v/>
      </c>
      <c r="L467" s="48" t="str">
        <f>IF(AND(Creditos!$C$13&lt;&gt;"",Creditos!$M$13="OK",42&lt;=Creditos!$H$13),I467+K467,"")</f>
        <v/>
      </c>
      <c r="M467" s="48" t="str">
        <f>IF(AND(Creditos!$C$13&lt;&gt;"",Creditos!$M$13="OK",42&lt;=Creditos!$H$13),MAX(0,F467-J467),"")</f>
        <v/>
      </c>
      <c r="N467" s="48" t="str">
        <f>IF(AND(Creditos!$C$13&lt;&gt;"",Creditos!$M$13="OK",42&lt;=Creditos!$H$13),SUMIFS(Pagos!$F$6:$F$305,Pagos!$C$6:$C$305,C467,Pagos!$D$6:$D$305,D467,Pagos!$E$6:$E$305,"&lt;="&amp;Supuestos!$D$6,Pagos!$H$6:$H$305,"OK"),"")</f>
        <v/>
      </c>
      <c r="O467" s="48" t="str">
        <f>IF(AND(Creditos!$C$13&lt;&gt;"",Creditos!$M$13="OK",42&lt;=Creditos!$H$13),MIN(J467,MAX(0,N467-K467-H467)),"")</f>
        <v/>
      </c>
      <c r="P467" s="48" t="str">
        <f>IF(AND(Creditos!$C$13&lt;&gt;"",Creditos!$M$13="OK",42&lt;=Creditos!$H$13),MAX(0,L467-N467),"")</f>
        <v/>
      </c>
      <c r="Q467" s="50" t="str">
        <f>IF(AND(Creditos!$C$13&lt;&gt;"",Creditos!$M$13="OK",42&lt;=Creditos!$H$13),IF(AND(E467&lt;Supuestos!$D$6,P467&gt;0.005),Supuestos!$D$6-E467,0),"")</f>
        <v/>
      </c>
      <c r="R467" s="48" t="str">
        <f>IF(AND(Creditos!$C$13&lt;&gt;"",Creditos!$M$13="OK",42&lt;=Creditos!$H$13),MAX(0,N467-L467),"")</f>
        <v/>
      </c>
      <c r="S467" s="46" t="str">
        <f>IF(AND(Creditos!$C$13&lt;&gt;"",Creditos!$M$13="OK",42&lt;=Creditos!$H$13),IF(R467&gt;0.005,"Exceso sin imputar",IF(P467&lt;=0.005,"Pagada",IF(E467&lt;Supuestos!$D$6,"Vencida",IF(E467=Supuestos!$D$6,"Vence hoy","Por vencer")))),"")</f>
        <v/>
      </c>
      <c r="T467" s="46">
        <f>IF(AND(Creditos!$C$13&lt;&gt;"",Creditos!$M$13="OK",42&lt;=Creditos!$H$13),IF(P467&gt;0.005,E467,999999),999999)</f>
        <v>999999</v>
      </c>
    </row>
    <row r="468" ht="25.5" customHeight="1">
      <c r="C468" s="46" t="str">
        <f>IF(AND(Creditos!$C$13&lt;&gt;"",Creditos!$M$13="OK",43&lt;=Creditos!$H$13),Creditos!$C$13,"")</f>
        <v/>
      </c>
      <c r="D468" s="46" t="str">
        <f>IF(AND(Creditos!$C$13&lt;&gt;"",Creditos!$M$13="OK",43&lt;=Creditos!$H$13),43,"")</f>
        <v/>
      </c>
      <c r="E468" s="47" t="str">
        <f>IF(AND(Creditos!$C$13&lt;&gt;"",Creditos!$M$13="OK",43&lt;=Creditos!$H$13),EDATE(Creditos!$I$13,42),"")</f>
        <v/>
      </c>
      <c r="F468" s="48" t="str">
        <f>IF(AND(Creditos!$C$13&lt;&gt;"",Creditos!$M$13="OK",43&lt;=Creditos!$H$13),M467,"")</f>
        <v/>
      </c>
      <c r="G468" s="49" t="str">
        <f>IF(AND(Creditos!$C$13&lt;&gt;"",Creditos!$M$13="OK",43&lt;=Creditos!$H$13),Creditos!$N$13,"")</f>
        <v/>
      </c>
      <c r="H468" s="48" t="str">
        <f>IF(AND(Creditos!$C$13&lt;&gt;"",Creditos!$M$13="OK",43&lt;=Creditos!$H$13),ROUND(F468*G468,2),"")</f>
        <v/>
      </c>
      <c r="I468" s="48" t="str">
        <f>IF(AND(Creditos!$C$13&lt;&gt;"",Creditos!$M$13="OK",43&lt;=Creditos!$H$13),IF(43=Creditos!$H$13,F468+H468,MIN(Creditos!$O$13,F468+H468)),"")</f>
        <v/>
      </c>
      <c r="J468" s="48" t="str">
        <f>IF(AND(Creditos!$C$13&lt;&gt;"",Creditos!$M$13="OK",43&lt;=Creditos!$H$13),MIN(F468,MAX(0,I468-H468)),"")</f>
        <v/>
      </c>
      <c r="K468" s="48" t="str">
        <f>IF(AND(Creditos!$C$13&lt;&gt;"",Creditos!$M$13="OK",43&lt;=Creditos!$H$13),Creditos!$J$13+Creditos!$K$13,"")</f>
        <v/>
      </c>
      <c r="L468" s="48" t="str">
        <f>IF(AND(Creditos!$C$13&lt;&gt;"",Creditos!$M$13="OK",43&lt;=Creditos!$H$13),I468+K468,"")</f>
        <v/>
      </c>
      <c r="M468" s="48" t="str">
        <f>IF(AND(Creditos!$C$13&lt;&gt;"",Creditos!$M$13="OK",43&lt;=Creditos!$H$13),MAX(0,F468-J468),"")</f>
        <v/>
      </c>
      <c r="N468" s="48" t="str">
        <f>IF(AND(Creditos!$C$13&lt;&gt;"",Creditos!$M$13="OK",43&lt;=Creditos!$H$13),SUMIFS(Pagos!$F$6:$F$305,Pagos!$C$6:$C$305,C468,Pagos!$D$6:$D$305,D468,Pagos!$E$6:$E$305,"&lt;="&amp;Supuestos!$D$6,Pagos!$H$6:$H$305,"OK"),"")</f>
        <v/>
      </c>
      <c r="O468" s="48" t="str">
        <f>IF(AND(Creditos!$C$13&lt;&gt;"",Creditos!$M$13="OK",43&lt;=Creditos!$H$13),MIN(J468,MAX(0,N468-K468-H468)),"")</f>
        <v/>
      </c>
      <c r="P468" s="48" t="str">
        <f>IF(AND(Creditos!$C$13&lt;&gt;"",Creditos!$M$13="OK",43&lt;=Creditos!$H$13),MAX(0,L468-N468),"")</f>
        <v/>
      </c>
      <c r="Q468" s="50" t="str">
        <f>IF(AND(Creditos!$C$13&lt;&gt;"",Creditos!$M$13="OK",43&lt;=Creditos!$H$13),IF(AND(E468&lt;Supuestos!$D$6,P468&gt;0.005),Supuestos!$D$6-E468,0),"")</f>
        <v/>
      </c>
      <c r="R468" s="48" t="str">
        <f>IF(AND(Creditos!$C$13&lt;&gt;"",Creditos!$M$13="OK",43&lt;=Creditos!$H$13),MAX(0,N468-L468),"")</f>
        <v/>
      </c>
      <c r="S468" s="46" t="str">
        <f>IF(AND(Creditos!$C$13&lt;&gt;"",Creditos!$M$13="OK",43&lt;=Creditos!$H$13),IF(R468&gt;0.005,"Exceso sin imputar",IF(P468&lt;=0.005,"Pagada",IF(E468&lt;Supuestos!$D$6,"Vencida",IF(E468=Supuestos!$D$6,"Vence hoy","Por vencer")))),"")</f>
        <v/>
      </c>
      <c r="T468" s="46">
        <f>IF(AND(Creditos!$C$13&lt;&gt;"",Creditos!$M$13="OK",43&lt;=Creditos!$H$13),IF(P468&gt;0.005,E468,999999),999999)</f>
        <v>999999</v>
      </c>
    </row>
    <row r="469" ht="25.5" customHeight="1">
      <c r="C469" s="46" t="str">
        <f>IF(AND(Creditos!$C$13&lt;&gt;"",Creditos!$M$13="OK",44&lt;=Creditos!$H$13),Creditos!$C$13,"")</f>
        <v/>
      </c>
      <c r="D469" s="46" t="str">
        <f>IF(AND(Creditos!$C$13&lt;&gt;"",Creditos!$M$13="OK",44&lt;=Creditos!$H$13),44,"")</f>
        <v/>
      </c>
      <c r="E469" s="47" t="str">
        <f>IF(AND(Creditos!$C$13&lt;&gt;"",Creditos!$M$13="OK",44&lt;=Creditos!$H$13),EDATE(Creditos!$I$13,43),"")</f>
        <v/>
      </c>
      <c r="F469" s="48" t="str">
        <f>IF(AND(Creditos!$C$13&lt;&gt;"",Creditos!$M$13="OK",44&lt;=Creditos!$H$13),M468,"")</f>
        <v/>
      </c>
      <c r="G469" s="49" t="str">
        <f>IF(AND(Creditos!$C$13&lt;&gt;"",Creditos!$M$13="OK",44&lt;=Creditos!$H$13),Creditos!$N$13,"")</f>
        <v/>
      </c>
      <c r="H469" s="48" t="str">
        <f>IF(AND(Creditos!$C$13&lt;&gt;"",Creditos!$M$13="OK",44&lt;=Creditos!$H$13),ROUND(F469*G469,2),"")</f>
        <v/>
      </c>
      <c r="I469" s="48" t="str">
        <f>IF(AND(Creditos!$C$13&lt;&gt;"",Creditos!$M$13="OK",44&lt;=Creditos!$H$13),IF(44=Creditos!$H$13,F469+H469,MIN(Creditos!$O$13,F469+H469)),"")</f>
        <v/>
      </c>
      <c r="J469" s="48" t="str">
        <f>IF(AND(Creditos!$C$13&lt;&gt;"",Creditos!$M$13="OK",44&lt;=Creditos!$H$13),MIN(F469,MAX(0,I469-H469)),"")</f>
        <v/>
      </c>
      <c r="K469" s="48" t="str">
        <f>IF(AND(Creditos!$C$13&lt;&gt;"",Creditos!$M$13="OK",44&lt;=Creditos!$H$13),Creditos!$J$13+Creditos!$K$13,"")</f>
        <v/>
      </c>
      <c r="L469" s="48" t="str">
        <f>IF(AND(Creditos!$C$13&lt;&gt;"",Creditos!$M$13="OK",44&lt;=Creditos!$H$13),I469+K469,"")</f>
        <v/>
      </c>
      <c r="M469" s="48" t="str">
        <f>IF(AND(Creditos!$C$13&lt;&gt;"",Creditos!$M$13="OK",44&lt;=Creditos!$H$13),MAX(0,F469-J469),"")</f>
        <v/>
      </c>
      <c r="N469" s="48" t="str">
        <f>IF(AND(Creditos!$C$13&lt;&gt;"",Creditos!$M$13="OK",44&lt;=Creditos!$H$13),SUMIFS(Pagos!$F$6:$F$305,Pagos!$C$6:$C$305,C469,Pagos!$D$6:$D$305,D469,Pagos!$E$6:$E$305,"&lt;="&amp;Supuestos!$D$6,Pagos!$H$6:$H$305,"OK"),"")</f>
        <v/>
      </c>
      <c r="O469" s="48" t="str">
        <f>IF(AND(Creditos!$C$13&lt;&gt;"",Creditos!$M$13="OK",44&lt;=Creditos!$H$13),MIN(J469,MAX(0,N469-K469-H469)),"")</f>
        <v/>
      </c>
      <c r="P469" s="48" t="str">
        <f>IF(AND(Creditos!$C$13&lt;&gt;"",Creditos!$M$13="OK",44&lt;=Creditos!$H$13),MAX(0,L469-N469),"")</f>
        <v/>
      </c>
      <c r="Q469" s="50" t="str">
        <f>IF(AND(Creditos!$C$13&lt;&gt;"",Creditos!$M$13="OK",44&lt;=Creditos!$H$13),IF(AND(E469&lt;Supuestos!$D$6,P469&gt;0.005),Supuestos!$D$6-E469,0),"")</f>
        <v/>
      </c>
      <c r="R469" s="48" t="str">
        <f>IF(AND(Creditos!$C$13&lt;&gt;"",Creditos!$M$13="OK",44&lt;=Creditos!$H$13),MAX(0,N469-L469),"")</f>
        <v/>
      </c>
      <c r="S469" s="46" t="str">
        <f>IF(AND(Creditos!$C$13&lt;&gt;"",Creditos!$M$13="OK",44&lt;=Creditos!$H$13),IF(R469&gt;0.005,"Exceso sin imputar",IF(P469&lt;=0.005,"Pagada",IF(E469&lt;Supuestos!$D$6,"Vencida",IF(E469=Supuestos!$D$6,"Vence hoy","Por vencer")))),"")</f>
        <v/>
      </c>
      <c r="T469" s="46">
        <f>IF(AND(Creditos!$C$13&lt;&gt;"",Creditos!$M$13="OK",44&lt;=Creditos!$H$13),IF(P469&gt;0.005,E469,999999),999999)</f>
        <v>999999</v>
      </c>
    </row>
    <row r="470" ht="25.5" customHeight="1">
      <c r="C470" s="46" t="str">
        <f>IF(AND(Creditos!$C$13&lt;&gt;"",Creditos!$M$13="OK",45&lt;=Creditos!$H$13),Creditos!$C$13,"")</f>
        <v/>
      </c>
      <c r="D470" s="46" t="str">
        <f>IF(AND(Creditos!$C$13&lt;&gt;"",Creditos!$M$13="OK",45&lt;=Creditos!$H$13),45,"")</f>
        <v/>
      </c>
      <c r="E470" s="47" t="str">
        <f>IF(AND(Creditos!$C$13&lt;&gt;"",Creditos!$M$13="OK",45&lt;=Creditos!$H$13),EDATE(Creditos!$I$13,44),"")</f>
        <v/>
      </c>
      <c r="F470" s="48" t="str">
        <f>IF(AND(Creditos!$C$13&lt;&gt;"",Creditos!$M$13="OK",45&lt;=Creditos!$H$13),M469,"")</f>
        <v/>
      </c>
      <c r="G470" s="49" t="str">
        <f>IF(AND(Creditos!$C$13&lt;&gt;"",Creditos!$M$13="OK",45&lt;=Creditos!$H$13),Creditos!$N$13,"")</f>
        <v/>
      </c>
      <c r="H470" s="48" t="str">
        <f>IF(AND(Creditos!$C$13&lt;&gt;"",Creditos!$M$13="OK",45&lt;=Creditos!$H$13),ROUND(F470*G470,2),"")</f>
        <v/>
      </c>
      <c r="I470" s="48" t="str">
        <f>IF(AND(Creditos!$C$13&lt;&gt;"",Creditos!$M$13="OK",45&lt;=Creditos!$H$13),IF(45=Creditos!$H$13,F470+H470,MIN(Creditos!$O$13,F470+H470)),"")</f>
        <v/>
      </c>
      <c r="J470" s="48" t="str">
        <f>IF(AND(Creditos!$C$13&lt;&gt;"",Creditos!$M$13="OK",45&lt;=Creditos!$H$13),MIN(F470,MAX(0,I470-H470)),"")</f>
        <v/>
      </c>
      <c r="K470" s="48" t="str">
        <f>IF(AND(Creditos!$C$13&lt;&gt;"",Creditos!$M$13="OK",45&lt;=Creditos!$H$13),Creditos!$J$13+Creditos!$K$13,"")</f>
        <v/>
      </c>
      <c r="L470" s="48" t="str">
        <f>IF(AND(Creditos!$C$13&lt;&gt;"",Creditos!$M$13="OK",45&lt;=Creditos!$H$13),I470+K470,"")</f>
        <v/>
      </c>
      <c r="M470" s="48" t="str">
        <f>IF(AND(Creditos!$C$13&lt;&gt;"",Creditos!$M$13="OK",45&lt;=Creditos!$H$13),MAX(0,F470-J470),"")</f>
        <v/>
      </c>
      <c r="N470" s="48" t="str">
        <f>IF(AND(Creditos!$C$13&lt;&gt;"",Creditos!$M$13="OK",45&lt;=Creditos!$H$13),SUMIFS(Pagos!$F$6:$F$305,Pagos!$C$6:$C$305,C470,Pagos!$D$6:$D$305,D470,Pagos!$E$6:$E$305,"&lt;="&amp;Supuestos!$D$6,Pagos!$H$6:$H$305,"OK"),"")</f>
        <v/>
      </c>
      <c r="O470" s="48" t="str">
        <f>IF(AND(Creditos!$C$13&lt;&gt;"",Creditos!$M$13="OK",45&lt;=Creditos!$H$13),MIN(J470,MAX(0,N470-K470-H470)),"")</f>
        <v/>
      </c>
      <c r="P470" s="48" t="str">
        <f>IF(AND(Creditos!$C$13&lt;&gt;"",Creditos!$M$13="OK",45&lt;=Creditos!$H$13),MAX(0,L470-N470),"")</f>
        <v/>
      </c>
      <c r="Q470" s="50" t="str">
        <f>IF(AND(Creditos!$C$13&lt;&gt;"",Creditos!$M$13="OK",45&lt;=Creditos!$H$13),IF(AND(E470&lt;Supuestos!$D$6,P470&gt;0.005),Supuestos!$D$6-E470,0),"")</f>
        <v/>
      </c>
      <c r="R470" s="48" t="str">
        <f>IF(AND(Creditos!$C$13&lt;&gt;"",Creditos!$M$13="OK",45&lt;=Creditos!$H$13),MAX(0,N470-L470),"")</f>
        <v/>
      </c>
      <c r="S470" s="46" t="str">
        <f>IF(AND(Creditos!$C$13&lt;&gt;"",Creditos!$M$13="OK",45&lt;=Creditos!$H$13),IF(R470&gt;0.005,"Exceso sin imputar",IF(P470&lt;=0.005,"Pagada",IF(E470&lt;Supuestos!$D$6,"Vencida",IF(E470=Supuestos!$D$6,"Vence hoy","Por vencer")))),"")</f>
        <v/>
      </c>
      <c r="T470" s="46">
        <f>IF(AND(Creditos!$C$13&lt;&gt;"",Creditos!$M$13="OK",45&lt;=Creditos!$H$13),IF(P470&gt;0.005,E470,999999),999999)</f>
        <v>999999</v>
      </c>
    </row>
    <row r="471" ht="25.5" customHeight="1">
      <c r="C471" s="46" t="str">
        <f>IF(AND(Creditos!$C$13&lt;&gt;"",Creditos!$M$13="OK",46&lt;=Creditos!$H$13),Creditos!$C$13,"")</f>
        <v/>
      </c>
      <c r="D471" s="46" t="str">
        <f>IF(AND(Creditos!$C$13&lt;&gt;"",Creditos!$M$13="OK",46&lt;=Creditos!$H$13),46,"")</f>
        <v/>
      </c>
      <c r="E471" s="47" t="str">
        <f>IF(AND(Creditos!$C$13&lt;&gt;"",Creditos!$M$13="OK",46&lt;=Creditos!$H$13),EDATE(Creditos!$I$13,45),"")</f>
        <v/>
      </c>
      <c r="F471" s="48" t="str">
        <f>IF(AND(Creditos!$C$13&lt;&gt;"",Creditos!$M$13="OK",46&lt;=Creditos!$H$13),M470,"")</f>
        <v/>
      </c>
      <c r="G471" s="49" t="str">
        <f>IF(AND(Creditos!$C$13&lt;&gt;"",Creditos!$M$13="OK",46&lt;=Creditos!$H$13),Creditos!$N$13,"")</f>
        <v/>
      </c>
      <c r="H471" s="48" t="str">
        <f>IF(AND(Creditos!$C$13&lt;&gt;"",Creditos!$M$13="OK",46&lt;=Creditos!$H$13),ROUND(F471*G471,2),"")</f>
        <v/>
      </c>
      <c r="I471" s="48" t="str">
        <f>IF(AND(Creditos!$C$13&lt;&gt;"",Creditos!$M$13="OK",46&lt;=Creditos!$H$13),IF(46=Creditos!$H$13,F471+H471,MIN(Creditos!$O$13,F471+H471)),"")</f>
        <v/>
      </c>
      <c r="J471" s="48" t="str">
        <f>IF(AND(Creditos!$C$13&lt;&gt;"",Creditos!$M$13="OK",46&lt;=Creditos!$H$13),MIN(F471,MAX(0,I471-H471)),"")</f>
        <v/>
      </c>
      <c r="K471" s="48" t="str">
        <f>IF(AND(Creditos!$C$13&lt;&gt;"",Creditos!$M$13="OK",46&lt;=Creditos!$H$13),Creditos!$J$13+Creditos!$K$13,"")</f>
        <v/>
      </c>
      <c r="L471" s="48" t="str">
        <f>IF(AND(Creditos!$C$13&lt;&gt;"",Creditos!$M$13="OK",46&lt;=Creditos!$H$13),I471+K471,"")</f>
        <v/>
      </c>
      <c r="M471" s="48" t="str">
        <f>IF(AND(Creditos!$C$13&lt;&gt;"",Creditos!$M$13="OK",46&lt;=Creditos!$H$13),MAX(0,F471-J471),"")</f>
        <v/>
      </c>
      <c r="N471" s="48" t="str">
        <f>IF(AND(Creditos!$C$13&lt;&gt;"",Creditos!$M$13="OK",46&lt;=Creditos!$H$13),SUMIFS(Pagos!$F$6:$F$305,Pagos!$C$6:$C$305,C471,Pagos!$D$6:$D$305,D471,Pagos!$E$6:$E$305,"&lt;="&amp;Supuestos!$D$6,Pagos!$H$6:$H$305,"OK"),"")</f>
        <v/>
      </c>
      <c r="O471" s="48" t="str">
        <f>IF(AND(Creditos!$C$13&lt;&gt;"",Creditos!$M$13="OK",46&lt;=Creditos!$H$13),MIN(J471,MAX(0,N471-K471-H471)),"")</f>
        <v/>
      </c>
      <c r="P471" s="48" t="str">
        <f>IF(AND(Creditos!$C$13&lt;&gt;"",Creditos!$M$13="OK",46&lt;=Creditos!$H$13),MAX(0,L471-N471),"")</f>
        <v/>
      </c>
      <c r="Q471" s="50" t="str">
        <f>IF(AND(Creditos!$C$13&lt;&gt;"",Creditos!$M$13="OK",46&lt;=Creditos!$H$13),IF(AND(E471&lt;Supuestos!$D$6,P471&gt;0.005),Supuestos!$D$6-E471,0),"")</f>
        <v/>
      </c>
      <c r="R471" s="48" t="str">
        <f>IF(AND(Creditos!$C$13&lt;&gt;"",Creditos!$M$13="OK",46&lt;=Creditos!$H$13),MAX(0,N471-L471),"")</f>
        <v/>
      </c>
      <c r="S471" s="46" t="str">
        <f>IF(AND(Creditos!$C$13&lt;&gt;"",Creditos!$M$13="OK",46&lt;=Creditos!$H$13),IF(R471&gt;0.005,"Exceso sin imputar",IF(P471&lt;=0.005,"Pagada",IF(E471&lt;Supuestos!$D$6,"Vencida",IF(E471=Supuestos!$D$6,"Vence hoy","Por vencer")))),"")</f>
        <v/>
      </c>
      <c r="T471" s="46">
        <f>IF(AND(Creditos!$C$13&lt;&gt;"",Creditos!$M$13="OK",46&lt;=Creditos!$H$13),IF(P471&gt;0.005,E471,999999),999999)</f>
        <v>999999</v>
      </c>
    </row>
    <row r="472" ht="25.5" customHeight="1">
      <c r="C472" s="46" t="str">
        <f>IF(AND(Creditos!$C$13&lt;&gt;"",Creditos!$M$13="OK",47&lt;=Creditos!$H$13),Creditos!$C$13,"")</f>
        <v/>
      </c>
      <c r="D472" s="46" t="str">
        <f>IF(AND(Creditos!$C$13&lt;&gt;"",Creditos!$M$13="OK",47&lt;=Creditos!$H$13),47,"")</f>
        <v/>
      </c>
      <c r="E472" s="47" t="str">
        <f>IF(AND(Creditos!$C$13&lt;&gt;"",Creditos!$M$13="OK",47&lt;=Creditos!$H$13),EDATE(Creditos!$I$13,46),"")</f>
        <v/>
      </c>
      <c r="F472" s="48" t="str">
        <f>IF(AND(Creditos!$C$13&lt;&gt;"",Creditos!$M$13="OK",47&lt;=Creditos!$H$13),M471,"")</f>
        <v/>
      </c>
      <c r="G472" s="49" t="str">
        <f>IF(AND(Creditos!$C$13&lt;&gt;"",Creditos!$M$13="OK",47&lt;=Creditos!$H$13),Creditos!$N$13,"")</f>
        <v/>
      </c>
      <c r="H472" s="48" t="str">
        <f>IF(AND(Creditos!$C$13&lt;&gt;"",Creditos!$M$13="OK",47&lt;=Creditos!$H$13),ROUND(F472*G472,2),"")</f>
        <v/>
      </c>
      <c r="I472" s="48" t="str">
        <f>IF(AND(Creditos!$C$13&lt;&gt;"",Creditos!$M$13="OK",47&lt;=Creditos!$H$13),IF(47=Creditos!$H$13,F472+H472,MIN(Creditos!$O$13,F472+H472)),"")</f>
        <v/>
      </c>
      <c r="J472" s="48" t="str">
        <f>IF(AND(Creditos!$C$13&lt;&gt;"",Creditos!$M$13="OK",47&lt;=Creditos!$H$13),MIN(F472,MAX(0,I472-H472)),"")</f>
        <v/>
      </c>
      <c r="K472" s="48" t="str">
        <f>IF(AND(Creditos!$C$13&lt;&gt;"",Creditos!$M$13="OK",47&lt;=Creditos!$H$13),Creditos!$J$13+Creditos!$K$13,"")</f>
        <v/>
      </c>
      <c r="L472" s="48" t="str">
        <f>IF(AND(Creditos!$C$13&lt;&gt;"",Creditos!$M$13="OK",47&lt;=Creditos!$H$13),I472+K472,"")</f>
        <v/>
      </c>
      <c r="M472" s="48" t="str">
        <f>IF(AND(Creditos!$C$13&lt;&gt;"",Creditos!$M$13="OK",47&lt;=Creditos!$H$13),MAX(0,F472-J472),"")</f>
        <v/>
      </c>
      <c r="N472" s="48" t="str">
        <f>IF(AND(Creditos!$C$13&lt;&gt;"",Creditos!$M$13="OK",47&lt;=Creditos!$H$13),SUMIFS(Pagos!$F$6:$F$305,Pagos!$C$6:$C$305,C472,Pagos!$D$6:$D$305,D472,Pagos!$E$6:$E$305,"&lt;="&amp;Supuestos!$D$6,Pagos!$H$6:$H$305,"OK"),"")</f>
        <v/>
      </c>
      <c r="O472" s="48" t="str">
        <f>IF(AND(Creditos!$C$13&lt;&gt;"",Creditos!$M$13="OK",47&lt;=Creditos!$H$13),MIN(J472,MAX(0,N472-K472-H472)),"")</f>
        <v/>
      </c>
      <c r="P472" s="48" t="str">
        <f>IF(AND(Creditos!$C$13&lt;&gt;"",Creditos!$M$13="OK",47&lt;=Creditos!$H$13),MAX(0,L472-N472),"")</f>
        <v/>
      </c>
      <c r="Q472" s="50" t="str">
        <f>IF(AND(Creditos!$C$13&lt;&gt;"",Creditos!$M$13="OK",47&lt;=Creditos!$H$13),IF(AND(E472&lt;Supuestos!$D$6,P472&gt;0.005),Supuestos!$D$6-E472,0),"")</f>
        <v/>
      </c>
      <c r="R472" s="48" t="str">
        <f>IF(AND(Creditos!$C$13&lt;&gt;"",Creditos!$M$13="OK",47&lt;=Creditos!$H$13),MAX(0,N472-L472),"")</f>
        <v/>
      </c>
      <c r="S472" s="46" t="str">
        <f>IF(AND(Creditos!$C$13&lt;&gt;"",Creditos!$M$13="OK",47&lt;=Creditos!$H$13),IF(R472&gt;0.005,"Exceso sin imputar",IF(P472&lt;=0.005,"Pagada",IF(E472&lt;Supuestos!$D$6,"Vencida",IF(E472=Supuestos!$D$6,"Vence hoy","Por vencer")))),"")</f>
        <v/>
      </c>
      <c r="T472" s="46">
        <f>IF(AND(Creditos!$C$13&lt;&gt;"",Creditos!$M$13="OK",47&lt;=Creditos!$H$13),IF(P472&gt;0.005,E472,999999),999999)</f>
        <v>999999</v>
      </c>
    </row>
    <row r="473" ht="25.5" customHeight="1">
      <c r="C473" s="46" t="str">
        <f>IF(AND(Creditos!$C$13&lt;&gt;"",Creditos!$M$13="OK",48&lt;=Creditos!$H$13),Creditos!$C$13,"")</f>
        <v/>
      </c>
      <c r="D473" s="46" t="str">
        <f>IF(AND(Creditos!$C$13&lt;&gt;"",Creditos!$M$13="OK",48&lt;=Creditos!$H$13),48,"")</f>
        <v/>
      </c>
      <c r="E473" s="47" t="str">
        <f>IF(AND(Creditos!$C$13&lt;&gt;"",Creditos!$M$13="OK",48&lt;=Creditos!$H$13),EDATE(Creditos!$I$13,47),"")</f>
        <v/>
      </c>
      <c r="F473" s="48" t="str">
        <f>IF(AND(Creditos!$C$13&lt;&gt;"",Creditos!$M$13="OK",48&lt;=Creditos!$H$13),M472,"")</f>
        <v/>
      </c>
      <c r="G473" s="49" t="str">
        <f>IF(AND(Creditos!$C$13&lt;&gt;"",Creditos!$M$13="OK",48&lt;=Creditos!$H$13),Creditos!$N$13,"")</f>
        <v/>
      </c>
      <c r="H473" s="48" t="str">
        <f>IF(AND(Creditos!$C$13&lt;&gt;"",Creditos!$M$13="OK",48&lt;=Creditos!$H$13),ROUND(F473*G473,2),"")</f>
        <v/>
      </c>
      <c r="I473" s="48" t="str">
        <f>IF(AND(Creditos!$C$13&lt;&gt;"",Creditos!$M$13="OK",48&lt;=Creditos!$H$13),IF(48=Creditos!$H$13,F473+H473,MIN(Creditos!$O$13,F473+H473)),"")</f>
        <v/>
      </c>
      <c r="J473" s="48" t="str">
        <f>IF(AND(Creditos!$C$13&lt;&gt;"",Creditos!$M$13="OK",48&lt;=Creditos!$H$13),MIN(F473,MAX(0,I473-H473)),"")</f>
        <v/>
      </c>
      <c r="K473" s="48" t="str">
        <f>IF(AND(Creditos!$C$13&lt;&gt;"",Creditos!$M$13="OK",48&lt;=Creditos!$H$13),Creditos!$J$13+Creditos!$K$13,"")</f>
        <v/>
      </c>
      <c r="L473" s="48" t="str">
        <f>IF(AND(Creditos!$C$13&lt;&gt;"",Creditos!$M$13="OK",48&lt;=Creditos!$H$13),I473+K473,"")</f>
        <v/>
      </c>
      <c r="M473" s="48" t="str">
        <f>IF(AND(Creditos!$C$13&lt;&gt;"",Creditos!$M$13="OK",48&lt;=Creditos!$H$13),MAX(0,F473-J473),"")</f>
        <v/>
      </c>
      <c r="N473" s="48" t="str">
        <f>IF(AND(Creditos!$C$13&lt;&gt;"",Creditos!$M$13="OK",48&lt;=Creditos!$H$13),SUMIFS(Pagos!$F$6:$F$305,Pagos!$C$6:$C$305,C473,Pagos!$D$6:$D$305,D473,Pagos!$E$6:$E$305,"&lt;="&amp;Supuestos!$D$6,Pagos!$H$6:$H$305,"OK"),"")</f>
        <v/>
      </c>
      <c r="O473" s="48" t="str">
        <f>IF(AND(Creditos!$C$13&lt;&gt;"",Creditos!$M$13="OK",48&lt;=Creditos!$H$13),MIN(J473,MAX(0,N473-K473-H473)),"")</f>
        <v/>
      </c>
      <c r="P473" s="48" t="str">
        <f>IF(AND(Creditos!$C$13&lt;&gt;"",Creditos!$M$13="OK",48&lt;=Creditos!$H$13),MAX(0,L473-N473),"")</f>
        <v/>
      </c>
      <c r="Q473" s="50" t="str">
        <f>IF(AND(Creditos!$C$13&lt;&gt;"",Creditos!$M$13="OK",48&lt;=Creditos!$H$13),IF(AND(E473&lt;Supuestos!$D$6,P473&gt;0.005),Supuestos!$D$6-E473,0),"")</f>
        <v/>
      </c>
      <c r="R473" s="48" t="str">
        <f>IF(AND(Creditos!$C$13&lt;&gt;"",Creditos!$M$13="OK",48&lt;=Creditos!$H$13),MAX(0,N473-L473),"")</f>
        <v/>
      </c>
      <c r="S473" s="46" t="str">
        <f>IF(AND(Creditos!$C$13&lt;&gt;"",Creditos!$M$13="OK",48&lt;=Creditos!$H$13),IF(R473&gt;0.005,"Exceso sin imputar",IF(P473&lt;=0.005,"Pagada",IF(E473&lt;Supuestos!$D$6,"Vencida",IF(E473=Supuestos!$D$6,"Vence hoy","Por vencer")))),"")</f>
        <v/>
      </c>
      <c r="T473" s="46">
        <f>IF(AND(Creditos!$C$13&lt;&gt;"",Creditos!$M$13="OK",48&lt;=Creditos!$H$13),IF(P473&gt;0.005,E473,999999),999999)</f>
        <v>999999</v>
      </c>
    </row>
    <row r="474" ht="25.5" customHeight="1">
      <c r="C474" s="46" t="str">
        <f>IF(AND(Creditos!$C$13&lt;&gt;"",Creditos!$M$13="OK",49&lt;=Creditos!$H$13),Creditos!$C$13,"")</f>
        <v/>
      </c>
      <c r="D474" s="46" t="str">
        <f>IF(AND(Creditos!$C$13&lt;&gt;"",Creditos!$M$13="OK",49&lt;=Creditos!$H$13),49,"")</f>
        <v/>
      </c>
      <c r="E474" s="47" t="str">
        <f>IF(AND(Creditos!$C$13&lt;&gt;"",Creditos!$M$13="OK",49&lt;=Creditos!$H$13),EDATE(Creditos!$I$13,48),"")</f>
        <v/>
      </c>
      <c r="F474" s="48" t="str">
        <f>IF(AND(Creditos!$C$13&lt;&gt;"",Creditos!$M$13="OK",49&lt;=Creditos!$H$13),M473,"")</f>
        <v/>
      </c>
      <c r="G474" s="49" t="str">
        <f>IF(AND(Creditos!$C$13&lt;&gt;"",Creditos!$M$13="OK",49&lt;=Creditos!$H$13),Creditos!$N$13,"")</f>
        <v/>
      </c>
      <c r="H474" s="48" t="str">
        <f>IF(AND(Creditos!$C$13&lt;&gt;"",Creditos!$M$13="OK",49&lt;=Creditos!$H$13),ROUND(F474*G474,2),"")</f>
        <v/>
      </c>
      <c r="I474" s="48" t="str">
        <f>IF(AND(Creditos!$C$13&lt;&gt;"",Creditos!$M$13="OK",49&lt;=Creditos!$H$13),IF(49=Creditos!$H$13,F474+H474,MIN(Creditos!$O$13,F474+H474)),"")</f>
        <v/>
      </c>
      <c r="J474" s="48" t="str">
        <f>IF(AND(Creditos!$C$13&lt;&gt;"",Creditos!$M$13="OK",49&lt;=Creditos!$H$13),MIN(F474,MAX(0,I474-H474)),"")</f>
        <v/>
      </c>
      <c r="K474" s="48" t="str">
        <f>IF(AND(Creditos!$C$13&lt;&gt;"",Creditos!$M$13="OK",49&lt;=Creditos!$H$13),Creditos!$J$13+Creditos!$K$13,"")</f>
        <v/>
      </c>
      <c r="L474" s="48" t="str">
        <f>IF(AND(Creditos!$C$13&lt;&gt;"",Creditos!$M$13="OK",49&lt;=Creditos!$H$13),I474+K474,"")</f>
        <v/>
      </c>
      <c r="M474" s="48" t="str">
        <f>IF(AND(Creditos!$C$13&lt;&gt;"",Creditos!$M$13="OK",49&lt;=Creditos!$H$13),MAX(0,F474-J474),"")</f>
        <v/>
      </c>
      <c r="N474" s="48" t="str">
        <f>IF(AND(Creditos!$C$13&lt;&gt;"",Creditos!$M$13="OK",49&lt;=Creditos!$H$13),SUMIFS(Pagos!$F$6:$F$305,Pagos!$C$6:$C$305,C474,Pagos!$D$6:$D$305,D474,Pagos!$E$6:$E$305,"&lt;="&amp;Supuestos!$D$6,Pagos!$H$6:$H$305,"OK"),"")</f>
        <v/>
      </c>
      <c r="O474" s="48" t="str">
        <f>IF(AND(Creditos!$C$13&lt;&gt;"",Creditos!$M$13="OK",49&lt;=Creditos!$H$13),MIN(J474,MAX(0,N474-K474-H474)),"")</f>
        <v/>
      </c>
      <c r="P474" s="48" t="str">
        <f>IF(AND(Creditos!$C$13&lt;&gt;"",Creditos!$M$13="OK",49&lt;=Creditos!$H$13),MAX(0,L474-N474),"")</f>
        <v/>
      </c>
      <c r="Q474" s="50" t="str">
        <f>IF(AND(Creditos!$C$13&lt;&gt;"",Creditos!$M$13="OK",49&lt;=Creditos!$H$13),IF(AND(E474&lt;Supuestos!$D$6,P474&gt;0.005),Supuestos!$D$6-E474,0),"")</f>
        <v/>
      </c>
      <c r="R474" s="48" t="str">
        <f>IF(AND(Creditos!$C$13&lt;&gt;"",Creditos!$M$13="OK",49&lt;=Creditos!$H$13),MAX(0,N474-L474),"")</f>
        <v/>
      </c>
      <c r="S474" s="46" t="str">
        <f>IF(AND(Creditos!$C$13&lt;&gt;"",Creditos!$M$13="OK",49&lt;=Creditos!$H$13),IF(R474&gt;0.005,"Exceso sin imputar",IF(P474&lt;=0.005,"Pagada",IF(E474&lt;Supuestos!$D$6,"Vencida",IF(E474=Supuestos!$D$6,"Vence hoy","Por vencer")))),"")</f>
        <v/>
      </c>
      <c r="T474" s="46">
        <f>IF(AND(Creditos!$C$13&lt;&gt;"",Creditos!$M$13="OK",49&lt;=Creditos!$H$13),IF(P474&gt;0.005,E474,999999),999999)</f>
        <v>999999</v>
      </c>
    </row>
    <row r="475" ht="25.5" customHeight="1">
      <c r="C475" s="46" t="str">
        <f>IF(AND(Creditos!$C$13&lt;&gt;"",Creditos!$M$13="OK",50&lt;=Creditos!$H$13),Creditos!$C$13,"")</f>
        <v/>
      </c>
      <c r="D475" s="46" t="str">
        <f>IF(AND(Creditos!$C$13&lt;&gt;"",Creditos!$M$13="OK",50&lt;=Creditos!$H$13),50,"")</f>
        <v/>
      </c>
      <c r="E475" s="47" t="str">
        <f>IF(AND(Creditos!$C$13&lt;&gt;"",Creditos!$M$13="OK",50&lt;=Creditos!$H$13),EDATE(Creditos!$I$13,49),"")</f>
        <v/>
      </c>
      <c r="F475" s="48" t="str">
        <f>IF(AND(Creditos!$C$13&lt;&gt;"",Creditos!$M$13="OK",50&lt;=Creditos!$H$13),M474,"")</f>
        <v/>
      </c>
      <c r="G475" s="49" t="str">
        <f>IF(AND(Creditos!$C$13&lt;&gt;"",Creditos!$M$13="OK",50&lt;=Creditos!$H$13),Creditos!$N$13,"")</f>
        <v/>
      </c>
      <c r="H475" s="48" t="str">
        <f>IF(AND(Creditos!$C$13&lt;&gt;"",Creditos!$M$13="OK",50&lt;=Creditos!$H$13),ROUND(F475*G475,2),"")</f>
        <v/>
      </c>
      <c r="I475" s="48" t="str">
        <f>IF(AND(Creditos!$C$13&lt;&gt;"",Creditos!$M$13="OK",50&lt;=Creditos!$H$13),IF(50=Creditos!$H$13,F475+H475,MIN(Creditos!$O$13,F475+H475)),"")</f>
        <v/>
      </c>
      <c r="J475" s="48" t="str">
        <f>IF(AND(Creditos!$C$13&lt;&gt;"",Creditos!$M$13="OK",50&lt;=Creditos!$H$13),MIN(F475,MAX(0,I475-H475)),"")</f>
        <v/>
      </c>
      <c r="K475" s="48" t="str">
        <f>IF(AND(Creditos!$C$13&lt;&gt;"",Creditos!$M$13="OK",50&lt;=Creditos!$H$13),Creditos!$J$13+Creditos!$K$13,"")</f>
        <v/>
      </c>
      <c r="L475" s="48" t="str">
        <f>IF(AND(Creditos!$C$13&lt;&gt;"",Creditos!$M$13="OK",50&lt;=Creditos!$H$13),I475+K475,"")</f>
        <v/>
      </c>
      <c r="M475" s="48" t="str">
        <f>IF(AND(Creditos!$C$13&lt;&gt;"",Creditos!$M$13="OK",50&lt;=Creditos!$H$13),MAX(0,F475-J475),"")</f>
        <v/>
      </c>
      <c r="N475" s="48" t="str">
        <f>IF(AND(Creditos!$C$13&lt;&gt;"",Creditos!$M$13="OK",50&lt;=Creditos!$H$13),SUMIFS(Pagos!$F$6:$F$305,Pagos!$C$6:$C$305,C475,Pagos!$D$6:$D$305,D475,Pagos!$E$6:$E$305,"&lt;="&amp;Supuestos!$D$6,Pagos!$H$6:$H$305,"OK"),"")</f>
        <v/>
      </c>
      <c r="O475" s="48" t="str">
        <f>IF(AND(Creditos!$C$13&lt;&gt;"",Creditos!$M$13="OK",50&lt;=Creditos!$H$13),MIN(J475,MAX(0,N475-K475-H475)),"")</f>
        <v/>
      </c>
      <c r="P475" s="48" t="str">
        <f>IF(AND(Creditos!$C$13&lt;&gt;"",Creditos!$M$13="OK",50&lt;=Creditos!$H$13),MAX(0,L475-N475),"")</f>
        <v/>
      </c>
      <c r="Q475" s="50" t="str">
        <f>IF(AND(Creditos!$C$13&lt;&gt;"",Creditos!$M$13="OK",50&lt;=Creditos!$H$13),IF(AND(E475&lt;Supuestos!$D$6,P475&gt;0.005),Supuestos!$D$6-E475,0),"")</f>
        <v/>
      </c>
      <c r="R475" s="48" t="str">
        <f>IF(AND(Creditos!$C$13&lt;&gt;"",Creditos!$M$13="OK",50&lt;=Creditos!$H$13),MAX(0,N475-L475),"")</f>
        <v/>
      </c>
      <c r="S475" s="46" t="str">
        <f>IF(AND(Creditos!$C$13&lt;&gt;"",Creditos!$M$13="OK",50&lt;=Creditos!$H$13),IF(R475&gt;0.005,"Exceso sin imputar",IF(P475&lt;=0.005,"Pagada",IF(E475&lt;Supuestos!$D$6,"Vencida",IF(E475=Supuestos!$D$6,"Vence hoy","Por vencer")))),"")</f>
        <v/>
      </c>
      <c r="T475" s="46">
        <f>IF(AND(Creditos!$C$13&lt;&gt;"",Creditos!$M$13="OK",50&lt;=Creditos!$H$13),IF(P475&gt;0.005,E475,999999),999999)</f>
        <v>999999</v>
      </c>
    </row>
    <row r="476" ht="25.5" customHeight="1">
      <c r="C476" s="46" t="str">
        <f>IF(AND(Creditos!$C$13&lt;&gt;"",Creditos!$M$13="OK",51&lt;=Creditos!$H$13),Creditos!$C$13,"")</f>
        <v/>
      </c>
      <c r="D476" s="46" t="str">
        <f>IF(AND(Creditos!$C$13&lt;&gt;"",Creditos!$M$13="OK",51&lt;=Creditos!$H$13),51,"")</f>
        <v/>
      </c>
      <c r="E476" s="47" t="str">
        <f>IF(AND(Creditos!$C$13&lt;&gt;"",Creditos!$M$13="OK",51&lt;=Creditos!$H$13),EDATE(Creditos!$I$13,50),"")</f>
        <v/>
      </c>
      <c r="F476" s="48" t="str">
        <f>IF(AND(Creditos!$C$13&lt;&gt;"",Creditos!$M$13="OK",51&lt;=Creditos!$H$13),M475,"")</f>
        <v/>
      </c>
      <c r="G476" s="49" t="str">
        <f>IF(AND(Creditos!$C$13&lt;&gt;"",Creditos!$M$13="OK",51&lt;=Creditos!$H$13),Creditos!$N$13,"")</f>
        <v/>
      </c>
      <c r="H476" s="48" t="str">
        <f>IF(AND(Creditos!$C$13&lt;&gt;"",Creditos!$M$13="OK",51&lt;=Creditos!$H$13),ROUND(F476*G476,2),"")</f>
        <v/>
      </c>
      <c r="I476" s="48" t="str">
        <f>IF(AND(Creditos!$C$13&lt;&gt;"",Creditos!$M$13="OK",51&lt;=Creditos!$H$13),IF(51=Creditos!$H$13,F476+H476,MIN(Creditos!$O$13,F476+H476)),"")</f>
        <v/>
      </c>
      <c r="J476" s="48" t="str">
        <f>IF(AND(Creditos!$C$13&lt;&gt;"",Creditos!$M$13="OK",51&lt;=Creditos!$H$13),MIN(F476,MAX(0,I476-H476)),"")</f>
        <v/>
      </c>
      <c r="K476" s="48" t="str">
        <f>IF(AND(Creditos!$C$13&lt;&gt;"",Creditos!$M$13="OK",51&lt;=Creditos!$H$13),Creditos!$J$13+Creditos!$K$13,"")</f>
        <v/>
      </c>
      <c r="L476" s="48" t="str">
        <f>IF(AND(Creditos!$C$13&lt;&gt;"",Creditos!$M$13="OK",51&lt;=Creditos!$H$13),I476+K476,"")</f>
        <v/>
      </c>
      <c r="M476" s="48" t="str">
        <f>IF(AND(Creditos!$C$13&lt;&gt;"",Creditos!$M$13="OK",51&lt;=Creditos!$H$13),MAX(0,F476-J476),"")</f>
        <v/>
      </c>
      <c r="N476" s="48" t="str">
        <f>IF(AND(Creditos!$C$13&lt;&gt;"",Creditos!$M$13="OK",51&lt;=Creditos!$H$13),SUMIFS(Pagos!$F$6:$F$305,Pagos!$C$6:$C$305,C476,Pagos!$D$6:$D$305,D476,Pagos!$E$6:$E$305,"&lt;="&amp;Supuestos!$D$6,Pagos!$H$6:$H$305,"OK"),"")</f>
        <v/>
      </c>
      <c r="O476" s="48" t="str">
        <f>IF(AND(Creditos!$C$13&lt;&gt;"",Creditos!$M$13="OK",51&lt;=Creditos!$H$13),MIN(J476,MAX(0,N476-K476-H476)),"")</f>
        <v/>
      </c>
      <c r="P476" s="48" t="str">
        <f>IF(AND(Creditos!$C$13&lt;&gt;"",Creditos!$M$13="OK",51&lt;=Creditos!$H$13),MAX(0,L476-N476),"")</f>
        <v/>
      </c>
      <c r="Q476" s="50" t="str">
        <f>IF(AND(Creditos!$C$13&lt;&gt;"",Creditos!$M$13="OK",51&lt;=Creditos!$H$13),IF(AND(E476&lt;Supuestos!$D$6,P476&gt;0.005),Supuestos!$D$6-E476,0),"")</f>
        <v/>
      </c>
      <c r="R476" s="48" t="str">
        <f>IF(AND(Creditos!$C$13&lt;&gt;"",Creditos!$M$13="OK",51&lt;=Creditos!$H$13),MAX(0,N476-L476),"")</f>
        <v/>
      </c>
      <c r="S476" s="46" t="str">
        <f>IF(AND(Creditos!$C$13&lt;&gt;"",Creditos!$M$13="OK",51&lt;=Creditos!$H$13),IF(R476&gt;0.005,"Exceso sin imputar",IF(P476&lt;=0.005,"Pagada",IF(E476&lt;Supuestos!$D$6,"Vencida",IF(E476=Supuestos!$D$6,"Vence hoy","Por vencer")))),"")</f>
        <v/>
      </c>
      <c r="T476" s="46">
        <f>IF(AND(Creditos!$C$13&lt;&gt;"",Creditos!$M$13="OK",51&lt;=Creditos!$H$13),IF(P476&gt;0.005,E476,999999),999999)</f>
        <v>999999</v>
      </c>
    </row>
    <row r="477" ht="25.5" customHeight="1">
      <c r="C477" s="46" t="str">
        <f>IF(AND(Creditos!$C$13&lt;&gt;"",Creditos!$M$13="OK",52&lt;=Creditos!$H$13),Creditos!$C$13,"")</f>
        <v/>
      </c>
      <c r="D477" s="46" t="str">
        <f>IF(AND(Creditos!$C$13&lt;&gt;"",Creditos!$M$13="OK",52&lt;=Creditos!$H$13),52,"")</f>
        <v/>
      </c>
      <c r="E477" s="47" t="str">
        <f>IF(AND(Creditos!$C$13&lt;&gt;"",Creditos!$M$13="OK",52&lt;=Creditos!$H$13),EDATE(Creditos!$I$13,51),"")</f>
        <v/>
      </c>
      <c r="F477" s="48" t="str">
        <f>IF(AND(Creditos!$C$13&lt;&gt;"",Creditos!$M$13="OK",52&lt;=Creditos!$H$13),M476,"")</f>
        <v/>
      </c>
      <c r="G477" s="49" t="str">
        <f>IF(AND(Creditos!$C$13&lt;&gt;"",Creditos!$M$13="OK",52&lt;=Creditos!$H$13),Creditos!$N$13,"")</f>
        <v/>
      </c>
      <c r="H477" s="48" t="str">
        <f>IF(AND(Creditos!$C$13&lt;&gt;"",Creditos!$M$13="OK",52&lt;=Creditos!$H$13),ROUND(F477*G477,2),"")</f>
        <v/>
      </c>
      <c r="I477" s="48" t="str">
        <f>IF(AND(Creditos!$C$13&lt;&gt;"",Creditos!$M$13="OK",52&lt;=Creditos!$H$13),IF(52=Creditos!$H$13,F477+H477,MIN(Creditos!$O$13,F477+H477)),"")</f>
        <v/>
      </c>
      <c r="J477" s="48" t="str">
        <f>IF(AND(Creditos!$C$13&lt;&gt;"",Creditos!$M$13="OK",52&lt;=Creditos!$H$13),MIN(F477,MAX(0,I477-H477)),"")</f>
        <v/>
      </c>
      <c r="K477" s="48" t="str">
        <f>IF(AND(Creditos!$C$13&lt;&gt;"",Creditos!$M$13="OK",52&lt;=Creditos!$H$13),Creditos!$J$13+Creditos!$K$13,"")</f>
        <v/>
      </c>
      <c r="L477" s="48" t="str">
        <f>IF(AND(Creditos!$C$13&lt;&gt;"",Creditos!$M$13="OK",52&lt;=Creditos!$H$13),I477+K477,"")</f>
        <v/>
      </c>
      <c r="M477" s="48" t="str">
        <f>IF(AND(Creditos!$C$13&lt;&gt;"",Creditos!$M$13="OK",52&lt;=Creditos!$H$13),MAX(0,F477-J477),"")</f>
        <v/>
      </c>
      <c r="N477" s="48" t="str">
        <f>IF(AND(Creditos!$C$13&lt;&gt;"",Creditos!$M$13="OK",52&lt;=Creditos!$H$13),SUMIFS(Pagos!$F$6:$F$305,Pagos!$C$6:$C$305,C477,Pagos!$D$6:$D$305,D477,Pagos!$E$6:$E$305,"&lt;="&amp;Supuestos!$D$6,Pagos!$H$6:$H$305,"OK"),"")</f>
        <v/>
      </c>
      <c r="O477" s="48" t="str">
        <f>IF(AND(Creditos!$C$13&lt;&gt;"",Creditos!$M$13="OK",52&lt;=Creditos!$H$13),MIN(J477,MAX(0,N477-K477-H477)),"")</f>
        <v/>
      </c>
      <c r="P477" s="48" t="str">
        <f>IF(AND(Creditos!$C$13&lt;&gt;"",Creditos!$M$13="OK",52&lt;=Creditos!$H$13),MAX(0,L477-N477),"")</f>
        <v/>
      </c>
      <c r="Q477" s="50" t="str">
        <f>IF(AND(Creditos!$C$13&lt;&gt;"",Creditos!$M$13="OK",52&lt;=Creditos!$H$13),IF(AND(E477&lt;Supuestos!$D$6,P477&gt;0.005),Supuestos!$D$6-E477,0),"")</f>
        <v/>
      </c>
      <c r="R477" s="48" t="str">
        <f>IF(AND(Creditos!$C$13&lt;&gt;"",Creditos!$M$13="OK",52&lt;=Creditos!$H$13),MAX(0,N477-L477),"")</f>
        <v/>
      </c>
      <c r="S477" s="46" t="str">
        <f>IF(AND(Creditos!$C$13&lt;&gt;"",Creditos!$M$13="OK",52&lt;=Creditos!$H$13),IF(R477&gt;0.005,"Exceso sin imputar",IF(P477&lt;=0.005,"Pagada",IF(E477&lt;Supuestos!$D$6,"Vencida",IF(E477=Supuestos!$D$6,"Vence hoy","Por vencer")))),"")</f>
        <v/>
      </c>
      <c r="T477" s="46">
        <f>IF(AND(Creditos!$C$13&lt;&gt;"",Creditos!$M$13="OK",52&lt;=Creditos!$H$13),IF(P477&gt;0.005,E477,999999),999999)</f>
        <v>999999</v>
      </c>
    </row>
    <row r="478" ht="25.5" customHeight="1">
      <c r="C478" s="46" t="str">
        <f>IF(AND(Creditos!$C$13&lt;&gt;"",Creditos!$M$13="OK",53&lt;=Creditos!$H$13),Creditos!$C$13,"")</f>
        <v/>
      </c>
      <c r="D478" s="46" t="str">
        <f>IF(AND(Creditos!$C$13&lt;&gt;"",Creditos!$M$13="OK",53&lt;=Creditos!$H$13),53,"")</f>
        <v/>
      </c>
      <c r="E478" s="47" t="str">
        <f>IF(AND(Creditos!$C$13&lt;&gt;"",Creditos!$M$13="OK",53&lt;=Creditos!$H$13),EDATE(Creditos!$I$13,52),"")</f>
        <v/>
      </c>
      <c r="F478" s="48" t="str">
        <f>IF(AND(Creditos!$C$13&lt;&gt;"",Creditos!$M$13="OK",53&lt;=Creditos!$H$13),M477,"")</f>
        <v/>
      </c>
      <c r="G478" s="49" t="str">
        <f>IF(AND(Creditos!$C$13&lt;&gt;"",Creditos!$M$13="OK",53&lt;=Creditos!$H$13),Creditos!$N$13,"")</f>
        <v/>
      </c>
      <c r="H478" s="48" t="str">
        <f>IF(AND(Creditos!$C$13&lt;&gt;"",Creditos!$M$13="OK",53&lt;=Creditos!$H$13),ROUND(F478*G478,2),"")</f>
        <v/>
      </c>
      <c r="I478" s="48" t="str">
        <f>IF(AND(Creditos!$C$13&lt;&gt;"",Creditos!$M$13="OK",53&lt;=Creditos!$H$13),IF(53=Creditos!$H$13,F478+H478,MIN(Creditos!$O$13,F478+H478)),"")</f>
        <v/>
      </c>
      <c r="J478" s="48" t="str">
        <f>IF(AND(Creditos!$C$13&lt;&gt;"",Creditos!$M$13="OK",53&lt;=Creditos!$H$13),MIN(F478,MAX(0,I478-H478)),"")</f>
        <v/>
      </c>
      <c r="K478" s="48" t="str">
        <f>IF(AND(Creditos!$C$13&lt;&gt;"",Creditos!$M$13="OK",53&lt;=Creditos!$H$13),Creditos!$J$13+Creditos!$K$13,"")</f>
        <v/>
      </c>
      <c r="L478" s="48" t="str">
        <f>IF(AND(Creditos!$C$13&lt;&gt;"",Creditos!$M$13="OK",53&lt;=Creditos!$H$13),I478+K478,"")</f>
        <v/>
      </c>
      <c r="M478" s="48" t="str">
        <f>IF(AND(Creditos!$C$13&lt;&gt;"",Creditos!$M$13="OK",53&lt;=Creditos!$H$13),MAX(0,F478-J478),"")</f>
        <v/>
      </c>
      <c r="N478" s="48" t="str">
        <f>IF(AND(Creditos!$C$13&lt;&gt;"",Creditos!$M$13="OK",53&lt;=Creditos!$H$13),SUMIFS(Pagos!$F$6:$F$305,Pagos!$C$6:$C$305,C478,Pagos!$D$6:$D$305,D478,Pagos!$E$6:$E$305,"&lt;="&amp;Supuestos!$D$6,Pagos!$H$6:$H$305,"OK"),"")</f>
        <v/>
      </c>
      <c r="O478" s="48" t="str">
        <f>IF(AND(Creditos!$C$13&lt;&gt;"",Creditos!$M$13="OK",53&lt;=Creditos!$H$13),MIN(J478,MAX(0,N478-K478-H478)),"")</f>
        <v/>
      </c>
      <c r="P478" s="48" t="str">
        <f>IF(AND(Creditos!$C$13&lt;&gt;"",Creditos!$M$13="OK",53&lt;=Creditos!$H$13),MAX(0,L478-N478),"")</f>
        <v/>
      </c>
      <c r="Q478" s="50" t="str">
        <f>IF(AND(Creditos!$C$13&lt;&gt;"",Creditos!$M$13="OK",53&lt;=Creditos!$H$13),IF(AND(E478&lt;Supuestos!$D$6,P478&gt;0.005),Supuestos!$D$6-E478,0),"")</f>
        <v/>
      </c>
      <c r="R478" s="48" t="str">
        <f>IF(AND(Creditos!$C$13&lt;&gt;"",Creditos!$M$13="OK",53&lt;=Creditos!$H$13),MAX(0,N478-L478),"")</f>
        <v/>
      </c>
      <c r="S478" s="46" t="str">
        <f>IF(AND(Creditos!$C$13&lt;&gt;"",Creditos!$M$13="OK",53&lt;=Creditos!$H$13),IF(R478&gt;0.005,"Exceso sin imputar",IF(P478&lt;=0.005,"Pagada",IF(E478&lt;Supuestos!$D$6,"Vencida",IF(E478=Supuestos!$D$6,"Vence hoy","Por vencer")))),"")</f>
        <v/>
      </c>
      <c r="T478" s="46">
        <f>IF(AND(Creditos!$C$13&lt;&gt;"",Creditos!$M$13="OK",53&lt;=Creditos!$H$13),IF(P478&gt;0.005,E478,999999),999999)</f>
        <v>999999</v>
      </c>
    </row>
    <row r="479" ht="25.5" customHeight="1">
      <c r="C479" s="46" t="str">
        <f>IF(AND(Creditos!$C$13&lt;&gt;"",Creditos!$M$13="OK",54&lt;=Creditos!$H$13),Creditos!$C$13,"")</f>
        <v/>
      </c>
      <c r="D479" s="46" t="str">
        <f>IF(AND(Creditos!$C$13&lt;&gt;"",Creditos!$M$13="OK",54&lt;=Creditos!$H$13),54,"")</f>
        <v/>
      </c>
      <c r="E479" s="47" t="str">
        <f>IF(AND(Creditos!$C$13&lt;&gt;"",Creditos!$M$13="OK",54&lt;=Creditos!$H$13),EDATE(Creditos!$I$13,53),"")</f>
        <v/>
      </c>
      <c r="F479" s="48" t="str">
        <f>IF(AND(Creditos!$C$13&lt;&gt;"",Creditos!$M$13="OK",54&lt;=Creditos!$H$13),M478,"")</f>
        <v/>
      </c>
      <c r="G479" s="49" t="str">
        <f>IF(AND(Creditos!$C$13&lt;&gt;"",Creditos!$M$13="OK",54&lt;=Creditos!$H$13),Creditos!$N$13,"")</f>
        <v/>
      </c>
      <c r="H479" s="48" t="str">
        <f>IF(AND(Creditos!$C$13&lt;&gt;"",Creditos!$M$13="OK",54&lt;=Creditos!$H$13),ROUND(F479*G479,2),"")</f>
        <v/>
      </c>
      <c r="I479" s="48" t="str">
        <f>IF(AND(Creditos!$C$13&lt;&gt;"",Creditos!$M$13="OK",54&lt;=Creditos!$H$13),IF(54=Creditos!$H$13,F479+H479,MIN(Creditos!$O$13,F479+H479)),"")</f>
        <v/>
      </c>
      <c r="J479" s="48" t="str">
        <f>IF(AND(Creditos!$C$13&lt;&gt;"",Creditos!$M$13="OK",54&lt;=Creditos!$H$13),MIN(F479,MAX(0,I479-H479)),"")</f>
        <v/>
      </c>
      <c r="K479" s="48" t="str">
        <f>IF(AND(Creditos!$C$13&lt;&gt;"",Creditos!$M$13="OK",54&lt;=Creditos!$H$13),Creditos!$J$13+Creditos!$K$13,"")</f>
        <v/>
      </c>
      <c r="L479" s="48" t="str">
        <f>IF(AND(Creditos!$C$13&lt;&gt;"",Creditos!$M$13="OK",54&lt;=Creditos!$H$13),I479+K479,"")</f>
        <v/>
      </c>
      <c r="M479" s="48" t="str">
        <f>IF(AND(Creditos!$C$13&lt;&gt;"",Creditos!$M$13="OK",54&lt;=Creditos!$H$13),MAX(0,F479-J479),"")</f>
        <v/>
      </c>
      <c r="N479" s="48" t="str">
        <f>IF(AND(Creditos!$C$13&lt;&gt;"",Creditos!$M$13="OK",54&lt;=Creditos!$H$13),SUMIFS(Pagos!$F$6:$F$305,Pagos!$C$6:$C$305,C479,Pagos!$D$6:$D$305,D479,Pagos!$E$6:$E$305,"&lt;="&amp;Supuestos!$D$6,Pagos!$H$6:$H$305,"OK"),"")</f>
        <v/>
      </c>
      <c r="O479" s="48" t="str">
        <f>IF(AND(Creditos!$C$13&lt;&gt;"",Creditos!$M$13="OK",54&lt;=Creditos!$H$13),MIN(J479,MAX(0,N479-K479-H479)),"")</f>
        <v/>
      </c>
      <c r="P479" s="48" t="str">
        <f>IF(AND(Creditos!$C$13&lt;&gt;"",Creditos!$M$13="OK",54&lt;=Creditos!$H$13),MAX(0,L479-N479),"")</f>
        <v/>
      </c>
      <c r="Q479" s="50" t="str">
        <f>IF(AND(Creditos!$C$13&lt;&gt;"",Creditos!$M$13="OK",54&lt;=Creditos!$H$13),IF(AND(E479&lt;Supuestos!$D$6,P479&gt;0.005),Supuestos!$D$6-E479,0),"")</f>
        <v/>
      </c>
      <c r="R479" s="48" t="str">
        <f>IF(AND(Creditos!$C$13&lt;&gt;"",Creditos!$M$13="OK",54&lt;=Creditos!$H$13),MAX(0,N479-L479),"")</f>
        <v/>
      </c>
      <c r="S479" s="46" t="str">
        <f>IF(AND(Creditos!$C$13&lt;&gt;"",Creditos!$M$13="OK",54&lt;=Creditos!$H$13),IF(R479&gt;0.005,"Exceso sin imputar",IF(P479&lt;=0.005,"Pagada",IF(E479&lt;Supuestos!$D$6,"Vencida",IF(E479=Supuestos!$D$6,"Vence hoy","Por vencer")))),"")</f>
        <v/>
      </c>
      <c r="T479" s="46">
        <f>IF(AND(Creditos!$C$13&lt;&gt;"",Creditos!$M$13="OK",54&lt;=Creditos!$H$13),IF(P479&gt;0.005,E479,999999),999999)</f>
        <v>999999</v>
      </c>
    </row>
    <row r="480" ht="25.5" customHeight="1">
      <c r="C480" s="46" t="str">
        <f>IF(AND(Creditos!$C$13&lt;&gt;"",Creditos!$M$13="OK",55&lt;=Creditos!$H$13),Creditos!$C$13,"")</f>
        <v/>
      </c>
      <c r="D480" s="46" t="str">
        <f>IF(AND(Creditos!$C$13&lt;&gt;"",Creditos!$M$13="OK",55&lt;=Creditos!$H$13),55,"")</f>
        <v/>
      </c>
      <c r="E480" s="47" t="str">
        <f>IF(AND(Creditos!$C$13&lt;&gt;"",Creditos!$M$13="OK",55&lt;=Creditos!$H$13),EDATE(Creditos!$I$13,54),"")</f>
        <v/>
      </c>
      <c r="F480" s="48" t="str">
        <f>IF(AND(Creditos!$C$13&lt;&gt;"",Creditos!$M$13="OK",55&lt;=Creditos!$H$13),M479,"")</f>
        <v/>
      </c>
      <c r="G480" s="49" t="str">
        <f>IF(AND(Creditos!$C$13&lt;&gt;"",Creditos!$M$13="OK",55&lt;=Creditos!$H$13),Creditos!$N$13,"")</f>
        <v/>
      </c>
      <c r="H480" s="48" t="str">
        <f>IF(AND(Creditos!$C$13&lt;&gt;"",Creditos!$M$13="OK",55&lt;=Creditos!$H$13),ROUND(F480*G480,2),"")</f>
        <v/>
      </c>
      <c r="I480" s="48" t="str">
        <f>IF(AND(Creditos!$C$13&lt;&gt;"",Creditos!$M$13="OK",55&lt;=Creditos!$H$13),IF(55=Creditos!$H$13,F480+H480,MIN(Creditos!$O$13,F480+H480)),"")</f>
        <v/>
      </c>
      <c r="J480" s="48" t="str">
        <f>IF(AND(Creditos!$C$13&lt;&gt;"",Creditos!$M$13="OK",55&lt;=Creditos!$H$13),MIN(F480,MAX(0,I480-H480)),"")</f>
        <v/>
      </c>
      <c r="K480" s="48" t="str">
        <f>IF(AND(Creditos!$C$13&lt;&gt;"",Creditos!$M$13="OK",55&lt;=Creditos!$H$13),Creditos!$J$13+Creditos!$K$13,"")</f>
        <v/>
      </c>
      <c r="L480" s="48" t="str">
        <f>IF(AND(Creditos!$C$13&lt;&gt;"",Creditos!$M$13="OK",55&lt;=Creditos!$H$13),I480+K480,"")</f>
        <v/>
      </c>
      <c r="M480" s="48" t="str">
        <f>IF(AND(Creditos!$C$13&lt;&gt;"",Creditos!$M$13="OK",55&lt;=Creditos!$H$13),MAX(0,F480-J480),"")</f>
        <v/>
      </c>
      <c r="N480" s="48" t="str">
        <f>IF(AND(Creditos!$C$13&lt;&gt;"",Creditos!$M$13="OK",55&lt;=Creditos!$H$13),SUMIFS(Pagos!$F$6:$F$305,Pagos!$C$6:$C$305,C480,Pagos!$D$6:$D$305,D480,Pagos!$E$6:$E$305,"&lt;="&amp;Supuestos!$D$6,Pagos!$H$6:$H$305,"OK"),"")</f>
        <v/>
      </c>
      <c r="O480" s="48" t="str">
        <f>IF(AND(Creditos!$C$13&lt;&gt;"",Creditos!$M$13="OK",55&lt;=Creditos!$H$13),MIN(J480,MAX(0,N480-K480-H480)),"")</f>
        <v/>
      </c>
      <c r="P480" s="48" t="str">
        <f>IF(AND(Creditos!$C$13&lt;&gt;"",Creditos!$M$13="OK",55&lt;=Creditos!$H$13),MAX(0,L480-N480),"")</f>
        <v/>
      </c>
      <c r="Q480" s="50" t="str">
        <f>IF(AND(Creditos!$C$13&lt;&gt;"",Creditos!$M$13="OK",55&lt;=Creditos!$H$13),IF(AND(E480&lt;Supuestos!$D$6,P480&gt;0.005),Supuestos!$D$6-E480,0),"")</f>
        <v/>
      </c>
      <c r="R480" s="48" t="str">
        <f>IF(AND(Creditos!$C$13&lt;&gt;"",Creditos!$M$13="OK",55&lt;=Creditos!$H$13),MAX(0,N480-L480),"")</f>
        <v/>
      </c>
      <c r="S480" s="46" t="str">
        <f>IF(AND(Creditos!$C$13&lt;&gt;"",Creditos!$M$13="OK",55&lt;=Creditos!$H$13),IF(R480&gt;0.005,"Exceso sin imputar",IF(P480&lt;=0.005,"Pagada",IF(E480&lt;Supuestos!$D$6,"Vencida",IF(E480=Supuestos!$D$6,"Vence hoy","Por vencer")))),"")</f>
        <v/>
      </c>
      <c r="T480" s="46">
        <f>IF(AND(Creditos!$C$13&lt;&gt;"",Creditos!$M$13="OK",55&lt;=Creditos!$H$13),IF(P480&gt;0.005,E480,999999),999999)</f>
        <v>999999</v>
      </c>
    </row>
    <row r="481" ht="25.5" customHeight="1">
      <c r="C481" s="46" t="str">
        <f>IF(AND(Creditos!$C$13&lt;&gt;"",Creditos!$M$13="OK",56&lt;=Creditos!$H$13),Creditos!$C$13,"")</f>
        <v/>
      </c>
      <c r="D481" s="46" t="str">
        <f>IF(AND(Creditos!$C$13&lt;&gt;"",Creditos!$M$13="OK",56&lt;=Creditos!$H$13),56,"")</f>
        <v/>
      </c>
      <c r="E481" s="47" t="str">
        <f>IF(AND(Creditos!$C$13&lt;&gt;"",Creditos!$M$13="OK",56&lt;=Creditos!$H$13),EDATE(Creditos!$I$13,55),"")</f>
        <v/>
      </c>
      <c r="F481" s="48" t="str">
        <f>IF(AND(Creditos!$C$13&lt;&gt;"",Creditos!$M$13="OK",56&lt;=Creditos!$H$13),M480,"")</f>
        <v/>
      </c>
      <c r="G481" s="49" t="str">
        <f>IF(AND(Creditos!$C$13&lt;&gt;"",Creditos!$M$13="OK",56&lt;=Creditos!$H$13),Creditos!$N$13,"")</f>
        <v/>
      </c>
      <c r="H481" s="48" t="str">
        <f>IF(AND(Creditos!$C$13&lt;&gt;"",Creditos!$M$13="OK",56&lt;=Creditos!$H$13),ROUND(F481*G481,2),"")</f>
        <v/>
      </c>
      <c r="I481" s="48" t="str">
        <f>IF(AND(Creditos!$C$13&lt;&gt;"",Creditos!$M$13="OK",56&lt;=Creditos!$H$13),IF(56=Creditos!$H$13,F481+H481,MIN(Creditos!$O$13,F481+H481)),"")</f>
        <v/>
      </c>
      <c r="J481" s="48" t="str">
        <f>IF(AND(Creditos!$C$13&lt;&gt;"",Creditos!$M$13="OK",56&lt;=Creditos!$H$13),MIN(F481,MAX(0,I481-H481)),"")</f>
        <v/>
      </c>
      <c r="K481" s="48" t="str">
        <f>IF(AND(Creditos!$C$13&lt;&gt;"",Creditos!$M$13="OK",56&lt;=Creditos!$H$13),Creditos!$J$13+Creditos!$K$13,"")</f>
        <v/>
      </c>
      <c r="L481" s="48" t="str">
        <f>IF(AND(Creditos!$C$13&lt;&gt;"",Creditos!$M$13="OK",56&lt;=Creditos!$H$13),I481+K481,"")</f>
        <v/>
      </c>
      <c r="M481" s="48" t="str">
        <f>IF(AND(Creditos!$C$13&lt;&gt;"",Creditos!$M$13="OK",56&lt;=Creditos!$H$13),MAX(0,F481-J481),"")</f>
        <v/>
      </c>
      <c r="N481" s="48" t="str">
        <f>IF(AND(Creditos!$C$13&lt;&gt;"",Creditos!$M$13="OK",56&lt;=Creditos!$H$13),SUMIFS(Pagos!$F$6:$F$305,Pagos!$C$6:$C$305,C481,Pagos!$D$6:$D$305,D481,Pagos!$E$6:$E$305,"&lt;="&amp;Supuestos!$D$6,Pagos!$H$6:$H$305,"OK"),"")</f>
        <v/>
      </c>
      <c r="O481" s="48" t="str">
        <f>IF(AND(Creditos!$C$13&lt;&gt;"",Creditos!$M$13="OK",56&lt;=Creditos!$H$13),MIN(J481,MAX(0,N481-K481-H481)),"")</f>
        <v/>
      </c>
      <c r="P481" s="48" t="str">
        <f>IF(AND(Creditos!$C$13&lt;&gt;"",Creditos!$M$13="OK",56&lt;=Creditos!$H$13),MAX(0,L481-N481),"")</f>
        <v/>
      </c>
      <c r="Q481" s="50" t="str">
        <f>IF(AND(Creditos!$C$13&lt;&gt;"",Creditos!$M$13="OK",56&lt;=Creditos!$H$13),IF(AND(E481&lt;Supuestos!$D$6,P481&gt;0.005),Supuestos!$D$6-E481,0),"")</f>
        <v/>
      </c>
      <c r="R481" s="48" t="str">
        <f>IF(AND(Creditos!$C$13&lt;&gt;"",Creditos!$M$13="OK",56&lt;=Creditos!$H$13),MAX(0,N481-L481),"")</f>
        <v/>
      </c>
      <c r="S481" s="46" t="str">
        <f>IF(AND(Creditos!$C$13&lt;&gt;"",Creditos!$M$13="OK",56&lt;=Creditos!$H$13),IF(R481&gt;0.005,"Exceso sin imputar",IF(P481&lt;=0.005,"Pagada",IF(E481&lt;Supuestos!$D$6,"Vencida",IF(E481=Supuestos!$D$6,"Vence hoy","Por vencer")))),"")</f>
        <v/>
      </c>
      <c r="T481" s="46">
        <f>IF(AND(Creditos!$C$13&lt;&gt;"",Creditos!$M$13="OK",56&lt;=Creditos!$H$13),IF(P481&gt;0.005,E481,999999),999999)</f>
        <v>999999</v>
      </c>
    </row>
    <row r="482" ht="25.5" customHeight="1">
      <c r="C482" s="46" t="str">
        <f>IF(AND(Creditos!$C$13&lt;&gt;"",Creditos!$M$13="OK",57&lt;=Creditos!$H$13),Creditos!$C$13,"")</f>
        <v/>
      </c>
      <c r="D482" s="46" t="str">
        <f>IF(AND(Creditos!$C$13&lt;&gt;"",Creditos!$M$13="OK",57&lt;=Creditos!$H$13),57,"")</f>
        <v/>
      </c>
      <c r="E482" s="47" t="str">
        <f>IF(AND(Creditos!$C$13&lt;&gt;"",Creditos!$M$13="OK",57&lt;=Creditos!$H$13),EDATE(Creditos!$I$13,56),"")</f>
        <v/>
      </c>
      <c r="F482" s="48" t="str">
        <f>IF(AND(Creditos!$C$13&lt;&gt;"",Creditos!$M$13="OK",57&lt;=Creditos!$H$13),M481,"")</f>
        <v/>
      </c>
      <c r="G482" s="49" t="str">
        <f>IF(AND(Creditos!$C$13&lt;&gt;"",Creditos!$M$13="OK",57&lt;=Creditos!$H$13),Creditos!$N$13,"")</f>
        <v/>
      </c>
      <c r="H482" s="48" t="str">
        <f>IF(AND(Creditos!$C$13&lt;&gt;"",Creditos!$M$13="OK",57&lt;=Creditos!$H$13),ROUND(F482*G482,2),"")</f>
        <v/>
      </c>
      <c r="I482" s="48" t="str">
        <f>IF(AND(Creditos!$C$13&lt;&gt;"",Creditos!$M$13="OK",57&lt;=Creditos!$H$13),IF(57=Creditos!$H$13,F482+H482,MIN(Creditos!$O$13,F482+H482)),"")</f>
        <v/>
      </c>
      <c r="J482" s="48" t="str">
        <f>IF(AND(Creditos!$C$13&lt;&gt;"",Creditos!$M$13="OK",57&lt;=Creditos!$H$13),MIN(F482,MAX(0,I482-H482)),"")</f>
        <v/>
      </c>
      <c r="K482" s="48" t="str">
        <f>IF(AND(Creditos!$C$13&lt;&gt;"",Creditos!$M$13="OK",57&lt;=Creditos!$H$13),Creditos!$J$13+Creditos!$K$13,"")</f>
        <v/>
      </c>
      <c r="L482" s="48" t="str">
        <f>IF(AND(Creditos!$C$13&lt;&gt;"",Creditos!$M$13="OK",57&lt;=Creditos!$H$13),I482+K482,"")</f>
        <v/>
      </c>
      <c r="M482" s="48" t="str">
        <f>IF(AND(Creditos!$C$13&lt;&gt;"",Creditos!$M$13="OK",57&lt;=Creditos!$H$13),MAX(0,F482-J482),"")</f>
        <v/>
      </c>
      <c r="N482" s="48" t="str">
        <f>IF(AND(Creditos!$C$13&lt;&gt;"",Creditos!$M$13="OK",57&lt;=Creditos!$H$13),SUMIFS(Pagos!$F$6:$F$305,Pagos!$C$6:$C$305,C482,Pagos!$D$6:$D$305,D482,Pagos!$E$6:$E$305,"&lt;="&amp;Supuestos!$D$6,Pagos!$H$6:$H$305,"OK"),"")</f>
        <v/>
      </c>
      <c r="O482" s="48" t="str">
        <f>IF(AND(Creditos!$C$13&lt;&gt;"",Creditos!$M$13="OK",57&lt;=Creditos!$H$13),MIN(J482,MAX(0,N482-K482-H482)),"")</f>
        <v/>
      </c>
      <c r="P482" s="48" t="str">
        <f>IF(AND(Creditos!$C$13&lt;&gt;"",Creditos!$M$13="OK",57&lt;=Creditos!$H$13),MAX(0,L482-N482),"")</f>
        <v/>
      </c>
      <c r="Q482" s="50" t="str">
        <f>IF(AND(Creditos!$C$13&lt;&gt;"",Creditos!$M$13="OK",57&lt;=Creditos!$H$13),IF(AND(E482&lt;Supuestos!$D$6,P482&gt;0.005),Supuestos!$D$6-E482,0),"")</f>
        <v/>
      </c>
      <c r="R482" s="48" t="str">
        <f>IF(AND(Creditos!$C$13&lt;&gt;"",Creditos!$M$13="OK",57&lt;=Creditos!$H$13),MAX(0,N482-L482),"")</f>
        <v/>
      </c>
      <c r="S482" s="46" t="str">
        <f>IF(AND(Creditos!$C$13&lt;&gt;"",Creditos!$M$13="OK",57&lt;=Creditos!$H$13),IF(R482&gt;0.005,"Exceso sin imputar",IF(P482&lt;=0.005,"Pagada",IF(E482&lt;Supuestos!$D$6,"Vencida",IF(E482=Supuestos!$D$6,"Vence hoy","Por vencer")))),"")</f>
        <v/>
      </c>
      <c r="T482" s="46">
        <f>IF(AND(Creditos!$C$13&lt;&gt;"",Creditos!$M$13="OK",57&lt;=Creditos!$H$13),IF(P482&gt;0.005,E482,999999),999999)</f>
        <v>999999</v>
      </c>
    </row>
    <row r="483" ht="25.5" customHeight="1">
      <c r="C483" s="46" t="str">
        <f>IF(AND(Creditos!$C$13&lt;&gt;"",Creditos!$M$13="OK",58&lt;=Creditos!$H$13),Creditos!$C$13,"")</f>
        <v/>
      </c>
      <c r="D483" s="46" t="str">
        <f>IF(AND(Creditos!$C$13&lt;&gt;"",Creditos!$M$13="OK",58&lt;=Creditos!$H$13),58,"")</f>
        <v/>
      </c>
      <c r="E483" s="47" t="str">
        <f>IF(AND(Creditos!$C$13&lt;&gt;"",Creditos!$M$13="OK",58&lt;=Creditos!$H$13),EDATE(Creditos!$I$13,57),"")</f>
        <v/>
      </c>
      <c r="F483" s="48" t="str">
        <f>IF(AND(Creditos!$C$13&lt;&gt;"",Creditos!$M$13="OK",58&lt;=Creditos!$H$13),M482,"")</f>
        <v/>
      </c>
      <c r="G483" s="49" t="str">
        <f>IF(AND(Creditos!$C$13&lt;&gt;"",Creditos!$M$13="OK",58&lt;=Creditos!$H$13),Creditos!$N$13,"")</f>
        <v/>
      </c>
      <c r="H483" s="48" t="str">
        <f>IF(AND(Creditos!$C$13&lt;&gt;"",Creditos!$M$13="OK",58&lt;=Creditos!$H$13),ROUND(F483*G483,2),"")</f>
        <v/>
      </c>
      <c r="I483" s="48" t="str">
        <f>IF(AND(Creditos!$C$13&lt;&gt;"",Creditos!$M$13="OK",58&lt;=Creditos!$H$13),IF(58=Creditos!$H$13,F483+H483,MIN(Creditos!$O$13,F483+H483)),"")</f>
        <v/>
      </c>
      <c r="J483" s="48" t="str">
        <f>IF(AND(Creditos!$C$13&lt;&gt;"",Creditos!$M$13="OK",58&lt;=Creditos!$H$13),MIN(F483,MAX(0,I483-H483)),"")</f>
        <v/>
      </c>
      <c r="K483" s="48" t="str">
        <f>IF(AND(Creditos!$C$13&lt;&gt;"",Creditos!$M$13="OK",58&lt;=Creditos!$H$13),Creditos!$J$13+Creditos!$K$13,"")</f>
        <v/>
      </c>
      <c r="L483" s="48" t="str">
        <f>IF(AND(Creditos!$C$13&lt;&gt;"",Creditos!$M$13="OK",58&lt;=Creditos!$H$13),I483+K483,"")</f>
        <v/>
      </c>
      <c r="M483" s="48" t="str">
        <f>IF(AND(Creditos!$C$13&lt;&gt;"",Creditos!$M$13="OK",58&lt;=Creditos!$H$13),MAX(0,F483-J483),"")</f>
        <v/>
      </c>
      <c r="N483" s="48" t="str">
        <f>IF(AND(Creditos!$C$13&lt;&gt;"",Creditos!$M$13="OK",58&lt;=Creditos!$H$13),SUMIFS(Pagos!$F$6:$F$305,Pagos!$C$6:$C$305,C483,Pagos!$D$6:$D$305,D483,Pagos!$E$6:$E$305,"&lt;="&amp;Supuestos!$D$6,Pagos!$H$6:$H$305,"OK"),"")</f>
        <v/>
      </c>
      <c r="O483" s="48" t="str">
        <f>IF(AND(Creditos!$C$13&lt;&gt;"",Creditos!$M$13="OK",58&lt;=Creditos!$H$13),MIN(J483,MAX(0,N483-K483-H483)),"")</f>
        <v/>
      </c>
      <c r="P483" s="48" t="str">
        <f>IF(AND(Creditos!$C$13&lt;&gt;"",Creditos!$M$13="OK",58&lt;=Creditos!$H$13),MAX(0,L483-N483),"")</f>
        <v/>
      </c>
      <c r="Q483" s="50" t="str">
        <f>IF(AND(Creditos!$C$13&lt;&gt;"",Creditos!$M$13="OK",58&lt;=Creditos!$H$13),IF(AND(E483&lt;Supuestos!$D$6,P483&gt;0.005),Supuestos!$D$6-E483,0),"")</f>
        <v/>
      </c>
      <c r="R483" s="48" t="str">
        <f>IF(AND(Creditos!$C$13&lt;&gt;"",Creditos!$M$13="OK",58&lt;=Creditos!$H$13),MAX(0,N483-L483),"")</f>
        <v/>
      </c>
      <c r="S483" s="46" t="str">
        <f>IF(AND(Creditos!$C$13&lt;&gt;"",Creditos!$M$13="OK",58&lt;=Creditos!$H$13),IF(R483&gt;0.005,"Exceso sin imputar",IF(P483&lt;=0.005,"Pagada",IF(E483&lt;Supuestos!$D$6,"Vencida",IF(E483=Supuestos!$D$6,"Vence hoy","Por vencer")))),"")</f>
        <v/>
      </c>
      <c r="T483" s="46">
        <f>IF(AND(Creditos!$C$13&lt;&gt;"",Creditos!$M$13="OK",58&lt;=Creditos!$H$13),IF(P483&gt;0.005,E483,999999),999999)</f>
        <v>999999</v>
      </c>
    </row>
    <row r="484" ht="25.5" customHeight="1">
      <c r="C484" s="46" t="str">
        <f>IF(AND(Creditos!$C$13&lt;&gt;"",Creditos!$M$13="OK",59&lt;=Creditos!$H$13),Creditos!$C$13,"")</f>
        <v/>
      </c>
      <c r="D484" s="46" t="str">
        <f>IF(AND(Creditos!$C$13&lt;&gt;"",Creditos!$M$13="OK",59&lt;=Creditos!$H$13),59,"")</f>
        <v/>
      </c>
      <c r="E484" s="47" t="str">
        <f>IF(AND(Creditos!$C$13&lt;&gt;"",Creditos!$M$13="OK",59&lt;=Creditos!$H$13),EDATE(Creditos!$I$13,58),"")</f>
        <v/>
      </c>
      <c r="F484" s="48" t="str">
        <f>IF(AND(Creditos!$C$13&lt;&gt;"",Creditos!$M$13="OK",59&lt;=Creditos!$H$13),M483,"")</f>
        <v/>
      </c>
      <c r="G484" s="49" t="str">
        <f>IF(AND(Creditos!$C$13&lt;&gt;"",Creditos!$M$13="OK",59&lt;=Creditos!$H$13),Creditos!$N$13,"")</f>
        <v/>
      </c>
      <c r="H484" s="48" t="str">
        <f>IF(AND(Creditos!$C$13&lt;&gt;"",Creditos!$M$13="OK",59&lt;=Creditos!$H$13),ROUND(F484*G484,2),"")</f>
        <v/>
      </c>
      <c r="I484" s="48" t="str">
        <f>IF(AND(Creditos!$C$13&lt;&gt;"",Creditos!$M$13="OK",59&lt;=Creditos!$H$13),IF(59=Creditos!$H$13,F484+H484,MIN(Creditos!$O$13,F484+H484)),"")</f>
        <v/>
      </c>
      <c r="J484" s="48" t="str">
        <f>IF(AND(Creditos!$C$13&lt;&gt;"",Creditos!$M$13="OK",59&lt;=Creditos!$H$13),MIN(F484,MAX(0,I484-H484)),"")</f>
        <v/>
      </c>
      <c r="K484" s="48" t="str">
        <f>IF(AND(Creditos!$C$13&lt;&gt;"",Creditos!$M$13="OK",59&lt;=Creditos!$H$13),Creditos!$J$13+Creditos!$K$13,"")</f>
        <v/>
      </c>
      <c r="L484" s="48" t="str">
        <f>IF(AND(Creditos!$C$13&lt;&gt;"",Creditos!$M$13="OK",59&lt;=Creditos!$H$13),I484+K484,"")</f>
        <v/>
      </c>
      <c r="M484" s="48" t="str">
        <f>IF(AND(Creditos!$C$13&lt;&gt;"",Creditos!$M$13="OK",59&lt;=Creditos!$H$13),MAX(0,F484-J484),"")</f>
        <v/>
      </c>
      <c r="N484" s="48" t="str">
        <f>IF(AND(Creditos!$C$13&lt;&gt;"",Creditos!$M$13="OK",59&lt;=Creditos!$H$13),SUMIFS(Pagos!$F$6:$F$305,Pagos!$C$6:$C$305,C484,Pagos!$D$6:$D$305,D484,Pagos!$E$6:$E$305,"&lt;="&amp;Supuestos!$D$6,Pagos!$H$6:$H$305,"OK"),"")</f>
        <v/>
      </c>
      <c r="O484" s="48" t="str">
        <f>IF(AND(Creditos!$C$13&lt;&gt;"",Creditos!$M$13="OK",59&lt;=Creditos!$H$13),MIN(J484,MAX(0,N484-K484-H484)),"")</f>
        <v/>
      </c>
      <c r="P484" s="48" t="str">
        <f>IF(AND(Creditos!$C$13&lt;&gt;"",Creditos!$M$13="OK",59&lt;=Creditos!$H$13),MAX(0,L484-N484),"")</f>
        <v/>
      </c>
      <c r="Q484" s="50" t="str">
        <f>IF(AND(Creditos!$C$13&lt;&gt;"",Creditos!$M$13="OK",59&lt;=Creditos!$H$13),IF(AND(E484&lt;Supuestos!$D$6,P484&gt;0.005),Supuestos!$D$6-E484,0),"")</f>
        <v/>
      </c>
      <c r="R484" s="48" t="str">
        <f>IF(AND(Creditos!$C$13&lt;&gt;"",Creditos!$M$13="OK",59&lt;=Creditos!$H$13),MAX(0,N484-L484),"")</f>
        <v/>
      </c>
      <c r="S484" s="46" t="str">
        <f>IF(AND(Creditos!$C$13&lt;&gt;"",Creditos!$M$13="OK",59&lt;=Creditos!$H$13),IF(R484&gt;0.005,"Exceso sin imputar",IF(P484&lt;=0.005,"Pagada",IF(E484&lt;Supuestos!$D$6,"Vencida",IF(E484=Supuestos!$D$6,"Vence hoy","Por vencer")))),"")</f>
        <v/>
      </c>
      <c r="T484" s="46">
        <f>IF(AND(Creditos!$C$13&lt;&gt;"",Creditos!$M$13="OK",59&lt;=Creditos!$H$13),IF(P484&gt;0.005,E484,999999),999999)</f>
        <v>999999</v>
      </c>
    </row>
    <row r="485" ht="25.5" customHeight="1">
      <c r="C485" s="46" t="str">
        <f>IF(AND(Creditos!$C$13&lt;&gt;"",Creditos!$M$13="OK",60&lt;=Creditos!$H$13),Creditos!$C$13,"")</f>
        <v/>
      </c>
      <c r="D485" s="46" t="str">
        <f>IF(AND(Creditos!$C$13&lt;&gt;"",Creditos!$M$13="OK",60&lt;=Creditos!$H$13),60,"")</f>
        <v/>
      </c>
      <c r="E485" s="47" t="str">
        <f>IF(AND(Creditos!$C$13&lt;&gt;"",Creditos!$M$13="OK",60&lt;=Creditos!$H$13),EDATE(Creditos!$I$13,59),"")</f>
        <v/>
      </c>
      <c r="F485" s="48" t="str">
        <f>IF(AND(Creditos!$C$13&lt;&gt;"",Creditos!$M$13="OK",60&lt;=Creditos!$H$13),M484,"")</f>
        <v/>
      </c>
      <c r="G485" s="49" t="str">
        <f>IF(AND(Creditos!$C$13&lt;&gt;"",Creditos!$M$13="OK",60&lt;=Creditos!$H$13),Creditos!$N$13,"")</f>
        <v/>
      </c>
      <c r="H485" s="48" t="str">
        <f>IF(AND(Creditos!$C$13&lt;&gt;"",Creditos!$M$13="OK",60&lt;=Creditos!$H$13),ROUND(F485*G485,2),"")</f>
        <v/>
      </c>
      <c r="I485" s="48" t="str">
        <f>IF(AND(Creditos!$C$13&lt;&gt;"",Creditos!$M$13="OK",60&lt;=Creditos!$H$13),IF(60=Creditos!$H$13,F485+H485,MIN(Creditos!$O$13,F485+H485)),"")</f>
        <v/>
      </c>
      <c r="J485" s="48" t="str">
        <f>IF(AND(Creditos!$C$13&lt;&gt;"",Creditos!$M$13="OK",60&lt;=Creditos!$H$13),MIN(F485,MAX(0,I485-H485)),"")</f>
        <v/>
      </c>
      <c r="K485" s="48" t="str">
        <f>IF(AND(Creditos!$C$13&lt;&gt;"",Creditos!$M$13="OK",60&lt;=Creditos!$H$13),Creditos!$J$13+Creditos!$K$13,"")</f>
        <v/>
      </c>
      <c r="L485" s="48" t="str">
        <f>IF(AND(Creditos!$C$13&lt;&gt;"",Creditos!$M$13="OK",60&lt;=Creditos!$H$13),I485+K485,"")</f>
        <v/>
      </c>
      <c r="M485" s="48" t="str">
        <f>IF(AND(Creditos!$C$13&lt;&gt;"",Creditos!$M$13="OK",60&lt;=Creditos!$H$13),MAX(0,F485-J485),"")</f>
        <v/>
      </c>
      <c r="N485" s="48" t="str">
        <f>IF(AND(Creditos!$C$13&lt;&gt;"",Creditos!$M$13="OK",60&lt;=Creditos!$H$13),SUMIFS(Pagos!$F$6:$F$305,Pagos!$C$6:$C$305,C485,Pagos!$D$6:$D$305,D485,Pagos!$E$6:$E$305,"&lt;="&amp;Supuestos!$D$6,Pagos!$H$6:$H$305,"OK"),"")</f>
        <v/>
      </c>
      <c r="O485" s="48" t="str">
        <f>IF(AND(Creditos!$C$13&lt;&gt;"",Creditos!$M$13="OK",60&lt;=Creditos!$H$13),MIN(J485,MAX(0,N485-K485-H485)),"")</f>
        <v/>
      </c>
      <c r="P485" s="48" t="str">
        <f>IF(AND(Creditos!$C$13&lt;&gt;"",Creditos!$M$13="OK",60&lt;=Creditos!$H$13),MAX(0,L485-N485),"")</f>
        <v/>
      </c>
      <c r="Q485" s="50" t="str">
        <f>IF(AND(Creditos!$C$13&lt;&gt;"",Creditos!$M$13="OK",60&lt;=Creditos!$H$13),IF(AND(E485&lt;Supuestos!$D$6,P485&gt;0.005),Supuestos!$D$6-E485,0),"")</f>
        <v/>
      </c>
      <c r="R485" s="48" t="str">
        <f>IF(AND(Creditos!$C$13&lt;&gt;"",Creditos!$M$13="OK",60&lt;=Creditos!$H$13),MAX(0,N485-L485),"")</f>
        <v/>
      </c>
      <c r="S485" s="46" t="str">
        <f>IF(AND(Creditos!$C$13&lt;&gt;"",Creditos!$M$13="OK",60&lt;=Creditos!$H$13),IF(R485&gt;0.005,"Exceso sin imputar",IF(P485&lt;=0.005,"Pagada",IF(E485&lt;Supuestos!$D$6,"Vencida",IF(E485=Supuestos!$D$6,"Vence hoy","Por vencer")))),"")</f>
        <v/>
      </c>
      <c r="T485" s="46">
        <f>IF(AND(Creditos!$C$13&lt;&gt;"",Creditos!$M$13="OK",60&lt;=Creditos!$H$13),IF(P485&gt;0.005,E485,999999),999999)</f>
        <v>999999</v>
      </c>
    </row>
    <row r="486" ht="25.5" customHeight="1">
      <c r="C486" s="46" t="str">
        <f>IF(AND(Creditos!$C$14&lt;&gt;"",Creditos!$M$14="OK",1&lt;=Creditos!$H$14),Creditos!$C$14,"")</f>
        <v/>
      </c>
      <c r="D486" s="46" t="str">
        <f>IF(AND(Creditos!$C$14&lt;&gt;"",Creditos!$M$14="OK",1&lt;=Creditos!$H$14),1,"")</f>
        <v/>
      </c>
      <c r="E486" s="47" t="str">
        <f>IF(AND(Creditos!$C$14&lt;&gt;"",Creditos!$M$14="OK",1&lt;=Creditos!$H$14),EDATE(Creditos!$I$14,0),"")</f>
        <v/>
      </c>
      <c r="F486" s="48" t="str">
        <f>IF(AND(Creditos!$C$14&lt;&gt;"",Creditos!$M$14="OK",1&lt;=Creditos!$H$14),Creditos!$E$14,"")</f>
        <v/>
      </c>
      <c r="G486" s="49" t="str">
        <f>IF(AND(Creditos!$C$14&lt;&gt;"",Creditos!$M$14="OK",1&lt;=Creditos!$H$14),Creditos!$N$14,"")</f>
        <v/>
      </c>
      <c r="H486" s="48" t="str">
        <f>IF(AND(Creditos!$C$14&lt;&gt;"",Creditos!$M$14="OK",1&lt;=Creditos!$H$14),ROUND(F486*G486,2),"")</f>
        <v/>
      </c>
      <c r="I486" s="48" t="str">
        <f>IF(AND(Creditos!$C$14&lt;&gt;"",Creditos!$M$14="OK",1&lt;=Creditos!$H$14),IF(1=Creditos!$H$14,F486+H486,MIN(Creditos!$O$14,F486+H486)),"")</f>
        <v/>
      </c>
      <c r="J486" s="48" t="str">
        <f>IF(AND(Creditos!$C$14&lt;&gt;"",Creditos!$M$14="OK",1&lt;=Creditos!$H$14),MIN(F486,MAX(0,I486-H486)),"")</f>
        <v/>
      </c>
      <c r="K486" s="48" t="str">
        <f>IF(AND(Creditos!$C$14&lt;&gt;"",Creditos!$M$14="OK",1&lt;=Creditos!$H$14),Creditos!$J$14+Creditos!$K$14,"")</f>
        <v/>
      </c>
      <c r="L486" s="48" t="str">
        <f>IF(AND(Creditos!$C$14&lt;&gt;"",Creditos!$M$14="OK",1&lt;=Creditos!$H$14),I486+K486,"")</f>
        <v/>
      </c>
      <c r="M486" s="48" t="str">
        <f>IF(AND(Creditos!$C$14&lt;&gt;"",Creditos!$M$14="OK",1&lt;=Creditos!$H$14),MAX(0,F486-J486),"")</f>
        <v/>
      </c>
      <c r="N486" s="48" t="str">
        <f>IF(AND(Creditos!$C$14&lt;&gt;"",Creditos!$M$14="OK",1&lt;=Creditos!$H$14),SUMIFS(Pagos!$F$6:$F$305,Pagos!$C$6:$C$305,C486,Pagos!$D$6:$D$305,D486,Pagos!$E$6:$E$305,"&lt;="&amp;Supuestos!$D$6,Pagos!$H$6:$H$305,"OK"),"")</f>
        <v/>
      </c>
      <c r="O486" s="48" t="str">
        <f>IF(AND(Creditos!$C$14&lt;&gt;"",Creditos!$M$14="OK",1&lt;=Creditos!$H$14),MIN(J486,MAX(0,N486-K486-H486)),"")</f>
        <v/>
      </c>
      <c r="P486" s="48" t="str">
        <f>IF(AND(Creditos!$C$14&lt;&gt;"",Creditos!$M$14="OK",1&lt;=Creditos!$H$14),MAX(0,L486-N486),"")</f>
        <v/>
      </c>
      <c r="Q486" s="50" t="str">
        <f>IF(AND(Creditos!$C$14&lt;&gt;"",Creditos!$M$14="OK",1&lt;=Creditos!$H$14),IF(AND(E486&lt;Supuestos!$D$6,P486&gt;0.005),Supuestos!$D$6-E486,0),"")</f>
        <v/>
      </c>
      <c r="R486" s="48" t="str">
        <f>IF(AND(Creditos!$C$14&lt;&gt;"",Creditos!$M$14="OK",1&lt;=Creditos!$H$14),MAX(0,N486-L486),"")</f>
        <v/>
      </c>
      <c r="S486" s="46" t="str">
        <f>IF(AND(Creditos!$C$14&lt;&gt;"",Creditos!$M$14="OK",1&lt;=Creditos!$H$14),IF(R486&gt;0.005,"Exceso sin imputar",IF(P486&lt;=0.005,"Pagada",IF(E486&lt;Supuestos!$D$6,"Vencida",IF(E486=Supuestos!$D$6,"Vence hoy","Por vencer")))),"")</f>
        <v/>
      </c>
      <c r="T486" s="46">
        <f>IF(AND(Creditos!$C$14&lt;&gt;"",Creditos!$M$14="OK",1&lt;=Creditos!$H$14),IF(P486&gt;0.005,E486,999999),999999)</f>
        <v>999999</v>
      </c>
    </row>
    <row r="487" ht="25.5" customHeight="1">
      <c r="C487" s="46" t="str">
        <f>IF(AND(Creditos!$C$14&lt;&gt;"",Creditos!$M$14="OK",2&lt;=Creditos!$H$14),Creditos!$C$14,"")</f>
        <v/>
      </c>
      <c r="D487" s="46" t="str">
        <f>IF(AND(Creditos!$C$14&lt;&gt;"",Creditos!$M$14="OK",2&lt;=Creditos!$H$14),2,"")</f>
        <v/>
      </c>
      <c r="E487" s="47" t="str">
        <f>IF(AND(Creditos!$C$14&lt;&gt;"",Creditos!$M$14="OK",2&lt;=Creditos!$H$14),EDATE(Creditos!$I$14,1),"")</f>
        <v/>
      </c>
      <c r="F487" s="48" t="str">
        <f>IF(AND(Creditos!$C$14&lt;&gt;"",Creditos!$M$14="OK",2&lt;=Creditos!$H$14),M486,"")</f>
        <v/>
      </c>
      <c r="G487" s="49" t="str">
        <f>IF(AND(Creditos!$C$14&lt;&gt;"",Creditos!$M$14="OK",2&lt;=Creditos!$H$14),Creditos!$N$14,"")</f>
        <v/>
      </c>
      <c r="H487" s="48" t="str">
        <f>IF(AND(Creditos!$C$14&lt;&gt;"",Creditos!$M$14="OK",2&lt;=Creditos!$H$14),ROUND(F487*G487,2),"")</f>
        <v/>
      </c>
      <c r="I487" s="48" t="str">
        <f>IF(AND(Creditos!$C$14&lt;&gt;"",Creditos!$M$14="OK",2&lt;=Creditos!$H$14),IF(2=Creditos!$H$14,F487+H487,MIN(Creditos!$O$14,F487+H487)),"")</f>
        <v/>
      </c>
      <c r="J487" s="48" t="str">
        <f>IF(AND(Creditos!$C$14&lt;&gt;"",Creditos!$M$14="OK",2&lt;=Creditos!$H$14),MIN(F487,MAX(0,I487-H487)),"")</f>
        <v/>
      </c>
      <c r="K487" s="48" t="str">
        <f>IF(AND(Creditos!$C$14&lt;&gt;"",Creditos!$M$14="OK",2&lt;=Creditos!$H$14),Creditos!$J$14+Creditos!$K$14,"")</f>
        <v/>
      </c>
      <c r="L487" s="48" t="str">
        <f>IF(AND(Creditos!$C$14&lt;&gt;"",Creditos!$M$14="OK",2&lt;=Creditos!$H$14),I487+K487,"")</f>
        <v/>
      </c>
      <c r="M487" s="48" t="str">
        <f>IF(AND(Creditos!$C$14&lt;&gt;"",Creditos!$M$14="OK",2&lt;=Creditos!$H$14),MAX(0,F487-J487),"")</f>
        <v/>
      </c>
      <c r="N487" s="48" t="str">
        <f>IF(AND(Creditos!$C$14&lt;&gt;"",Creditos!$M$14="OK",2&lt;=Creditos!$H$14),SUMIFS(Pagos!$F$6:$F$305,Pagos!$C$6:$C$305,C487,Pagos!$D$6:$D$305,D487,Pagos!$E$6:$E$305,"&lt;="&amp;Supuestos!$D$6,Pagos!$H$6:$H$305,"OK"),"")</f>
        <v/>
      </c>
      <c r="O487" s="48" t="str">
        <f>IF(AND(Creditos!$C$14&lt;&gt;"",Creditos!$M$14="OK",2&lt;=Creditos!$H$14),MIN(J487,MAX(0,N487-K487-H487)),"")</f>
        <v/>
      </c>
      <c r="P487" s="48" t="str">
        <f>IF(AND(Creditos!$C$14&lt;&gt;"",Creditos!$M$14="OK",2&lt;=Creditos!$H$14),MAX(0,L487-N487),"")</f>
        <v/>
      </c>
      <c r="Q487" s="50" t="str">
        <f>IF(AND(Creditos!$C$14&lt;&gt;"",Creditos!$M$14="OK",2&lt;=Creditos!$H$14),IF(AND(E487&lt;Supuestos!$D$6,P487&gt;0.005),Supuestos!$D$6-E487,0),"")</f>
        <v/>
      </c>
      <c r="R487" s="48" t="str">
        <f>IF(AND(Creditos!$C$14&lt;&gt;"",Creditos!$M$14="OK",2&lt;=Creditos!$H$14),MAX(0,N487-L487),"")</f>
        <v/>
      </c>
      <c r="S487" s="46" t="str">
        <f>IF(AND(Creditos!$C$14&lt;&gt;"",Creditos!$M$14="OK",2&lt;=Creditos!$H$14),IF(R487&gt;0.005,"Exceso sin imputar",IF(P487&lt;=0.005,"Pagada",IF(E487&lt;Supuestos!$D$6,"Vencida",IF(E487=Supuestos!$D$6,"Vence hoy","Por vencer")))),"")</f>
        <v/>
      </c>
      <c r="T487" s="46">
        <f>IF(AND(Creditos!$C$14&lt;&gt;"",Creditos!$M$14="OK",2&lt;=Creditos!$H$14),IF(P487&gt;0.005,E487,999999),999999)</f>
        <v>999999</v>
      </c>
    </row>
    <row r="488" ht="25.5" customHeight="1">
      <c r="C488" s="46" t="str">
        <f>IF(AND(Creditos!$C$14&lt;&gt;"",Creditos!$M$14="OK",3&lt;=Creditos!$H$14),Creditos!$C$14,"")</f>
        <v/>
      </c>
      <c r="D488" s="46" t="str">
        <f>IF(AND(Creditos!$C$14&lt;&gt;"",Creditos!$M$14="OK",3&lt;=Creditos!$H$14),3,"")</f>
        <v/>
      </c>
      <c r="E488" s="47" t="str">
        <f>IF(AND(Creditos!$C$14&lt;&gt;"",Creditos!$M$14="OK",3&lt;=Creditos!$H$14),EDATE(Creditos!$I$14,2),"")</f>
        <v/>
      </c>
      <c r="F488" s="48" t="str">
        <f>IF(AND(Creditos!$C$14&lt;&gt;"",Creditos!$M$14="OK",3&lt;=Creditos!$H$14),M487,"")</f>
        <v/>
      </c>
      <c r="G488" s="49" t="str">
        <f>IF(AND(Creditos!$C$14&lt;&gt;"",Creditos!$M$14="OK",3&lt;=Creditos!$H$14),Creditos!$N$14,"")</f>
        <v/>
      </c>
      <c r="H488" s="48" t="str">
        <f>IF(AND(Creditos!$C$14&lt;&gt;"",Creditos!$M$14="OK",3&lt;=Creditos!$H$14),ROUND(F488*G488,2),"")</f>
        <v/>
      </c>
      <c r="I488" s="48" t="str">
        <f>IF(AND(Creditos!$C$14&lt;&gt;"",Creditos!$M$14="OK",3&lt;=Creditos!$H$14),IF(3=Creditos!$H$14,F488+H488,MIN(Creditos!$O$14,F488+H488)),"")</f>
        <v/>
      </c>
      <c r="J488" s="48" t="str">
        <f>IF(AND(Creditos!$C$14&lt;&gt;"",Creditos!$M$14="OK",3&lt;=Creditos!$H$14),MIN(F488,MAX(0,I488-H488)),"")</f>
        <v/>
      </c>
      <c r="K488" s="48" t="str">
        <f>IF(AND(Creditos!$C$14&lt;&gt;"",Creditos!$M$14="OK",3&lt;=Creditos!$H$14),Creditos!$J$14+Creditos!$K$14,"")</f>
        <v/>
      </c>
      <c r="L488" s="48" t="str">
        <f>IF(AND(Creditos!$C$14&lt;&gt;"",Creditos!$M$14="OK",3&lt;=Creditos!$H$14),I488+K488,"")</f>
        <v/>
      </c>
      <c r="M488" s="48" t="str">
        <f>IF(AND(Creditos!$C$14&lt;&gt;"",Creditos!$M$14="OK",3&lt;=Creditos!$H$14),MAX(0,F488-J488),"")</f>
        <v/>
      </c>
      <c r="N488" s="48" t="str">
        <f>IF(AND(Creditos!$C$14&lt;&gt;"",Creditos!$M$14="OK",3&lt;=Creditos!$H$14),SUMIFS(Pagos!$F$6:$F$305,Pagos!$C$6:$C$305,C488,Pagos!$D$6:$D$305,D488,Pagos!$E$6:$E$305,"&lt;="&amp;Supuestos!$D$6,Pagos!$H$6:$H$305,"OK"),"")</f>
        <v/>
      </c>
      <c r="O488" s="48" t="str">
        <f>IF(AND(Creditos!$C$14&lt;&gt;"",Creditos!$M$14="OK",3&lt;=Creditos!$H$14),MIN(J488,MAX(0,N488-K488-H488)),"")</f>
        <v/>
      </c>
      <c r="P488" s="48" t="str">
        <f>IF(AND(Creditos!$C$14&lt;&gt;"",Creditos!$M$14="OK",3&lt;=Creditos!$H$14),MAX(0,L488-N488),"")</f>
        <v/>
      </c>
      <c r="Q488" s="50" t="str">
        <f>IF(AND(Creditos!$C$14&lt;&gt;"",Creditos!$M$14="OK",3&lt;=Creditos!$H$14),IF(AND(E488&lt;Supuestos!$D$6,P488&gt;0.005),Supuestos!$D$6-E488,0),"")</f>
        <v/>
      </c>
      <c r="R488" s="48" t="str">
        <f>IF(AND(Creditos!$C$14&lt;&gt;"",Creditos!$M$14="OK",3&lt;=Creditos!$H$14),MAX(0,N488-L488),"")</f>
        <v/>
      </c>
      <c r="S488" s="46" t="str">
        <f>IF(AND(Creditos!$C$14&lt;&gt;"",Creditos!$M$14="OK",3&lt;=Creditos!$H$14),IF(R488&gt;0.005,"Exceso sin imputar",IF(P488&lt;=0.005,"Pagada",IF(E488&lt;Supuestos!$D$6,"Vencida",IF(E488=Supuestos!$D$6,"Vence hoy","Por vencer")))),"")</f>
        <v/>
      </c>
      <c r="T488" s="46">
        <f>IF(AND(Creditos!$C$14&lt;&gt;"",Creditos!$M$14="OK",3&lt;=Creditos!$H$14),IF(P488&gt;0.005,E488,999999),999999)</f>
        <v>999999</v>
      </c>
    </row>
    <row r="489" ht="25.5" customHeight="1">
      <c r="C489" s="46" t="str">
        <f>IF(AND(Creditos!$C$14&lt;&gt;"",Creditos!$M$14="OK",4&lt;=Creditos!$H$14),Creditos!$C$14,"")</f>
        <v/>
      </c>
      <c r="D489" s="46" t="str">
        <f>IF(AND(Creditos!$C$14&lt;&gt;"",Creditos!$M$14="OK",4&lt;=Creditos!$H$14),4,"")</f>
        <v/>
      </c>
      <c r="E489" s="47" t="str">
        <f>IF(AND(Creditos!$C$14&lt;&gt;"",Creditos!$M$14="OK",4&lt;=Creditos!$H$14),EDATE(Creditos!$I$14,3),"")</f>
        <v/>
      </c>
      <c r="F489" s="48" t="str">
        <f>IF(AND(Creditos!$C$14&lt;&gt;"",Creditos!$M$14="OK",4&lt;=Creditos!$H$14),M488,"")</f>
        <v/>
      </c>
      <c r="G489" s="49" t="str">
        <f>IF(AND(Creditos!$C$14&lt;&gt;"",Creditos!$M$14="OK",4&lt;=Creditos!$H$14),Creditos!$N$14,"")</f>
        <v/>
      </c>
      <c r="H489" s="48" t="str">
        <f>IF(AND(Creditos!$C$14&lt;&gt;"",Creditos!$M$14="OK",4&lt;=Creditos!$H$14),ROUND(F489*G489,2),"")</f>
        <v/>
      </c>
      <c r="I489" s="48" t="str">
        <f>IF(AND(Creditos!$C$14&lt;&gt;"",Creditos!$M$14="OK",4&lt;=Creditos!$H$14),IF(4=Creditos!$H$14,F489+H489,MIN(Creditos!$O$14,F489+H489)),"")</f>
        <v/>
      </c>
      <c r="J489" s="48" t="str">
        <f>IF(AND(Creditos!$C$14&lt;&gt;"",Creditos!$M$14="OK",4&lt;=Creditos!$H$14),MIN(F489,MAX(0,I489-H489)),"")</f>
        <v/>
      </c>
      <c r="K489" s="48" t="str">
        <f>IF(AND(Creditos!$C$14&lt;&gt;"",Creditos!$M$14="OK",4&lt;=Creditos!$H$14),Creditos!$J$14+Creditos!$K$14,"")</f>
        <v/>
      </c>
      <c r="L489" s="48" t="str">
        <f>IF(AND(Creditos!$C$14&lt;&gt;"",Creditos!$M$14="OK",4&lt;=Creditos!$H$14),I489+K489,"")</f>
        <v/>
      </c>
      <c r="M489" s="48" t="str">
        <f>IF(AND(Creditos!$C$14&lt;&gt;"",Creditos!$M$14="OK",4&lt;=Creditos!$H$14),MAX(0,F489-J489),"")</f>
        <v/>
      </c>
      <c r="N489" s="48" t="str">
        <f>IF(AND(Creditos!$C$14&lt;&gt;"",Creditos!$M$14="OK",4&lt;=Creditos!$H$14),SUMIFS(Pagos!$F$6:$F$305,Pagos!$C$6:$C$305,C489,Pagos!$D$6:$D$305,D489,Pagos!$E$6:$E$305,"&lt;="&amp;Supuestos!$D$6,Pagos!$H$6:$H$305,"OK"),"")</f>
        <v/>
      </c>
      <c r="O489" s="48" t="str">
        <f>IF(AND(Creditos!$C$14&lt;&gt;"",Creditos!$M$14="OK",4&lt;=Creditos!$H$14),MIN(J489,MAX(0,N489-K489-H489)),"")</f>
        <v/>
      </c>
      <c r="P489" s="48" t="str">
        <f>IF(AND(Creditos!$C$14&lt;&gt;"",Creditos!$M$14="OK",4&lt;=Creditos!$H$14),MAX(0,L489-N489),"")</f>
        <v/>
      </c>
      <c r="Q489" s="50" t="str">
        <f>IF(AND(Creditos!$C$14&lt;&gt;"",Creditos!$M$14="OK",4&lt;=Creditos!$H$14),IF(AND(E489&lt;Supuestos!$D$6,P489&gt;0.005),Supuestos!$D$6-E489,0),"")</f>
        <v/>
      </c>
      <c r="R489" s="48" t="str">
        <f>IF(AND(Creditos!$C$14&lt;&gt;"",Creditos!$M$14="OK",4&lt;=Creditos!$H$14),MAX(0,N489-L489),"")</f>
        <v/>
      </c>
      <c r="S489" s="46" t="str">
        <f>IF(AND(Creditos!$C$14&lt;&gt;"",Creditos!$M$14="OK",4&lt;=Creditos!$H$14),IF(R489&gt;0.005,"Exceso sin imputar",IF(P489&lt;=0.005,"Pagada",IF(E489&lt;Supuestos!$D$6,"Vencida",IF(E489=Supuestos!$D$6,"Vence hoy","Por vencer")))),"")</f>
        <v/>
      </c>
      <c r="T489" s="46">
        <f>IF(AND(Creditos!$C$14&lt;&gt;"",Creditos!$M$14="OK",4&lt;=Creditos!$H$14),IF(P489&gt;0.005,E489,999999),999999)</f>
        <v>999999</v>
      </c>
    </row>
    <row r="490" ht="25.5" customHeight="1">
      <c r="C490" s="46" t="str">
        <f>IF(AND(Creditos!$C$14&lt;&gt;"",Creditos!$M$14="OK",5&lt;=Creditos!$H$14),Creditos!$C$14,"")</f>
        <v/>
      </c>
      <c r="D490" s="46" t="str">
        <f>IF(AND(Creditos!$C$14&lt;&gt;"",Creditos!$M$14="OK",5&lt;=Creditos!$H$14),5,"")</f>
        <v/>
      </c>
      <c r="E490" s="47" t="str">
        <f>IF(AND(Creditos!$C$14&lt;&gt;"",Creditos!$M$14="OK",5&lt;=Creditos!$H$14),EDATE(Creditos!$I$14,4),"")</f>
        <v/>
      </c>
      <c r="F490" s="48" t="str">
        <f>IF(AND(Creditos!$C$14&lt;&gt;"",Creditos!$M$14="OK",5&lt;=Creditos!$H$14),M489,"")</f>
        <v/>
      </c>
      <c r="G490" s="49" t="str">
        <f>IF(AND(Creditos!$C$14&lt;&gt;"",Creditos!$M$14="OK",5&lt;=Creditos!$H$14),Creditos!$N$14,"")</f>
        <v/>
      </c>
      <c r="H490" s="48" t="str">
        <f>IF(AND(Creditos!$C$14&lt;&gt;"",Creditos!$M$14="OK",5&lt;=Creditos!$H$14),ROUND(F490*G490,2),"")</f>
        <v/>
      </c>
      <c r="I490" s="48" t="str">
        <f>IF(AND(Creditos!$C$14&lt;&gt;"",Creditos!$M$14="OK",5&lt;=Creditos!$H$14),IF(5=Creditos!$H$14,F490+H490,MIN(Creditos!$O$14,F490+H490)),"")</f>
        <v/>
      </c>
      <c r="J490" s="48" t="str">
        <f>IF(AND(Creditos!$C$14&lt;&gt;"",Creditos!$M$14="OK",5&lt;=Creditos!$H$14),MIN(F490,MAX(0,I490-H490)),"")</f>
        <v/>
      </c>
      <c r="K490" s="48" t="str">
        <f>IF(AND(Creditos!$C$14&lt;&gt;"",Creditos!$M$14="OK",5&lt;=Creditos!$H$14),Creditos!$J$14+Creditos!$K$14,"")</f>
        <v/>
      </c>
      <c r="L490" s="48" t="str">
        <f>IF(AND(Creditos!$C$14&lt;&gt;"",Creditos!$M$14="OK",5&lt;=Creditos!$H$14),I490+K490,"")</f>
        <v/>
      </c>
      <c r="M490" s="48" t="str">
        <f>IF(AND(Creditos!$C$14&lt;&gt;"",Creditos!$M$14="OK",5&lt;=Creditos!$H$14),MAX(0,F490-J490),"")</f>
        <v/>
      </c>
      <c r="N490" s="48" t="str">
        <f>IF(AND(Creditos!$C$14&lt;&gt;"",Creditos!$M$14="OK",5&lt;=Creditos!$H$14),SUMIFS(Pagos!$F$6:$F$305,Pagos!$C$6:$C$305,C490,Pagos!$D$6:$D$305,D490,Pagos!$E$6:$E$305,"&lt;="&amp;Supuestos!$D$6,Pagos!$H$6:$H$305,"OK"),"")</f>
        <v/>
      </c>
      <c r="O490" s="48" t="str">
        <f>IF(AND(Creditos!$C$14&lt;&gt;"",Creditos!$M$14="OK",5&lt;=Creditos!$H$14),MIN(J490,MAX(0,N490-K490-H490)),"")</f>
        <v/>
      </c>
      <c r="P490" s="48" t="str">
        <f>IF(AND(Creditos!$C$14&lt;&gt;"",Creditos!$M$14="OK",5&lt;=Creditos!$H$14),MAX(0,L490-N490),"")</f>
        <v/>
      </c>
      <c r="Q490" s="50" t="str">
        <f>IF(AND(Creditos!$C$14&lt;&gt;"",Creditos!$M$14="OK",5&lt;=Creditos!$H$14),IF(AND(E490&lt;Supuestos!$D$6,P490&gt;0.005),Supuestos!$D$6-E490,0),"")</f>
        <v/>
      </c>
      <c r="R490" s="48" t="str">
        <f>IF(AND(Creditos!$C$14&lt;&gt;"",Creditos!$M$14="OK",5&lt;=Creditos!$H$14),MAX(0,N490-L490),"")</f>
        <v/>
      </c>
      <c r="S490" s="46" t="str">
        <f>IF(AND(Creditos!$C$14&lt;&gt;"",Creditos!$M$14="OK",5&lt;=Creditos!$H$14),IF(R490&gt;0.005,"Exceso sin imputar",IF(P490&lt;=0.005,"Pagada",IF(E490&lt;Supuestos!$D$6,"Vencida",IF(E490=Supuestos!$D$6,"Vence hoy","Por vencer")))),"")</f>
        <v/>
      </c>
      <c r="T490" s="46">
        <f>IF(AND(Creditos!$C$14&lt;&gt;"",Creditos!$M$14="OK",5&lt;=Creditos!$H$14),IF(P490&gt;0.005,E490,999999),999999)</f>
        <v>999999</v>
      </c>
    </row>
    <row r="491" ht="25.5" customHeight="1">
      <c r="C491" s="46" t="str">
        <f>IF(AND(Creditos!$C$14&lt;&gt;"",Creditos!$M$14="OK",6&lt;=Creditos!$H$14),Creditos!$C$14,"")</f>
        <v/>
      </c>
      <c r="D491" s="46" t="str">
        <f>IF(AND(Creditos!$C$14&lt;&gt;"",Creditos!$M$14="OK",6&lt;=Creditos!$H$14),6,"")</f>
        <v/>
      </c>
      <c r="E491" s="47" t="str">
        <f>IF(AND(Creditos!$C$14&lt;&gt;"",Creditos!$M$14="OK",6&lt;=Creditos!$H$14),EDATE(Creditos!$I$14,5),"")</f>
        <v/>
      </c>
      <c r="F491" s="48" t="str">
        <f>IF(AND(Creditos!$C$14&lt;&gt;"",Creditos!$M$14="OK",6&lt;=Creditos!$H$14),M490,"")</f>
        <v/>
      </c>
      <c r="G491" s="49" t="str">
        <f>IF(AND(Creditos!$C$14&lt;&gt;"",Creditos!$M$14="OK",6&lt;=Creditos!$H$14),Creditos!$N$14,"")</f>
        <v/>
      </c>
      <c r="H491" s="48" t="str">
        <f>IF(AND(Creditos!$C$14&lt;&gt;"",Creditos!$M$14="OK",6&lt;=Creditos!$H$14),ROUND(F491*G491,2),"")</f>
        <v/>
      </c>
      <c r="I491" s="48" t="str">
        <f>IF(AND(Creditos!$C$14&lt;&gt;"",Creditos!$M$14="OK",6&lt;=Creditos!$H$14),IF(6=Creditos!$H$14,F491+H491,MIN(Creditos!$O$14,F491+H491)),"")</f>
        <v/>
      </c>
      <c r="J491" s="48" t="str">
        <f>IF(AND(Creditos!$C$14&lt;&gt;"",Creditos!$M$14="OK",6&lt;=Creditos!$H$14),MIN(F491,MAX(0,I491-H491)),"")</f>
        <v/>
      </c>
      <c r="K491" s="48" t="str">
        <f>IF(AND(Creditos!$C$14&lt;&gt;"",Creditos!$M$14="OK",6&lt;=Creditos!$H$14),Creditos!$J$14+Creditos!$K$14,"")</f>
        <v/>
      </c>
      <c r="L491" s="48" t="str">
        <f>IF(AND(Creditos!$C$14&lt;&gt;"",Creditos!$M$14="OK",6&lt;=Creditos!$H$14),I491+K491,"")</f>
        <v/>
      </c>
      <c r="M491" s="48" t="str">
        <f>IF(AND(Creditos!$C$14&lt;&gt;"",Creditos!$M$14="OK",6&lt;=Creditos!$H$14),MAX(0,F491-J491),"")</f>
        <v/>
      </c>
      <c r="N491" s="48" t="str">
        <f>IF(AND(Creditos!$C$14&lt;&gt;"",Creditos!$M$14="OK",6&lt;=Creditos!$H$14),SUMIFS(Pagos!$F$6:$F$305,Pagos!$C$6:$C$305,C491,Pagos!$D$6:$D$305,D491,Pagos!$E$6:$E$305,"&lt;="&amp;Supuestos!$D$6,Pagos!$H$6:$H$305,"OK"),"")</f>
        <v/>
      </c>
      <c r="O491" s="48" t="str">
        <f>IF(AND(Creditos!$C$14&lt;&gt;"",Creditos!$M$14="OK",6&lt;=Creditos!$H$14),MIN(J491,MAX(0,N491-K491-H491)),"")</f>
        <v/>
      </c>
      <c r="P491" s="48" t="str">
        <f>IF(AND(Creditos!$C$14&lt;&gt;"",Creditos!$M$14="OK",6&lt;=Creditos!$H$14),MAX(0,L491-N491),"")</f>
        <v/>
      </c>
      <c r="Q491" s="50" t="str">
        <f>IF(AND(Creditos!$C$14&lt;&gt;"",Creditos!$M$14="OK",6&lt;=Creditos!$H$14),IF(AND(E491&lt;Supuestos!$D$6,P491&gt;0.005),Supuestos!$D$6-E491,0),"")</f>
        <v/>
      </c>
      <c r="R491" s="48" t="str">
        <f>IF(AND(Creditos!$C$14&lt;&gt;"",Creditos!$M$14="OK",6&lt;=Creditos!$H$14),MAX(0,N491-L491),"")</f>
        <v/>
      </c>
      <c r="S491" s="46" t="str">
        <f>IF(AND(Creditos!$C$14&lt;&gt;"",Creditos!$M$14="OK",6&lt;=Creditos!$H$14),IF(R491&gt;0.005,"Exceso sin imputar",IF(P491&lt;=0.005,"Pagada",IF(E491&lt;Supuestos!$D$6,"Vencida",IF(E491=Supuestos!$D$6,"Vence hoy","Por vencer")))),"")</f>
        <v/>
      </c>
      <c r="T491" s="46">
        <f>IF(AND(Creditos!$C$14&lt;&gt;"",Creditos!$M$14="OK",6&lt;=Creditos!$H$14),IF(P491&gt;0.005,E491,999999),999999)</f>
        <v>999999</v>
      </c>
    </row>
    <row r="492" ht="25.5" customHeight="1">
      <c r="C492" s="46" t="str">
        <f>IF(AND(Creditos!$C$14&lt;&gt;"",Creditos!$M$14="OK",7&lt;=Creditos!$H$14),Creditos!$C$14,"")</f>
        <v/>
      </c>
      <c r="D492" s="46" t="str">
        <f>IF(AND(Creditos!$C$14&lt;&gt;"",Creditos!$M$14="OK",7&lt;=Creditos!$H$14),7,"")</f>
        <v/>
      </c>
      <c r="E492" s="47" t="str">
        <f>IF(AND(Creditos!$C$14&lt;&gt;"",Creditos!$M$14="OK",7&lt;=Creditos!$H$14),EDATE(Creditos!$I$14,6),"")</f>
        <v/>
      </c>
      <c r="F492" s="48" t="str">
        <f>IF(AND(Creditos!$C$14&lt;&gt;"",Creditos!$M$14="OK",7&lt;=Creditos!$H$14),M491,"")</f>
        <v/>
      </c>
      <c r="G492" s="49" t="str">
        <f>IF(AND(Creditos!$C$14&lt;&gt;"",Creditos!$M$14="OK",7&lt;=Creditos!$H$14),Creditos!$N$14,"")</f>
        <v/>
      </c>
      <c r="H492" s="48" t="str">
        <f>IF(AND(Creditos!$C$14&lt;&gt;"",Creditos!$M$14="OK",7&lt;=Creditos!$H$14),ROUND(F492*G492,2),"")</f>
        <v/>
      </c>
      <c r="I492" s="48" t="str">
        <f>IF(AND(Creditos!$C$14&lt;&gt;"",Creditos!$M$14="OK",7&lt;=Creditos!$H$14),IF(7=Creditos!$H$14,F492+H492,MIN(Creditos!$O$14,F492+H492)),"")</f>
        <v/>
      </c>
      <c r="J492" s="48" t="str">
        <f>IF(AND(Creditos!$C$14&lt;&gt;"",Creditos!$M$14="OK",7&lt;=Creditos!$H$14),MIN(F492,MAX(0,I492-H492)),"")</f>
        <v/>
      </c>
      <c r="K492" s="48" t="str">
        <f>IF(AND(Creditos!$C$14&lt;&gt;"",Creditos!$M$14="OK",7&lt;=Creditos!$H$14),Creditos!$J$14+Creditos!$K$14,"")</f>
        <v/>
      </c>
      <c r="L492" s="48" t="str">
        <f>IF(AND(Creditos!$C$14&lt;&gt;"",Creditos!$M$14="OK",7&lt;=Creditos!$H$14),I492+K492,"")</f>
        <v/>
      </c>
      <c r="M492" s="48" t="str">
        <f>IF(AND(Creditos!$C$14&lt;&gt;"",Creditos!$M$14="OK",7&lt;=Creditos!$H$14),MAX(0,F492-J492),"")</f>
        <v/>
      </c>
      <c r="N492" s="48" t="str">
        <f>IF(AND(Creditos!$C$14&lt;&gt;"",Creditos!$M$14="OK",7&lt;=Creditos!$H$14),SUMIFS(Pagos!$F$6:$F$305,Pagos!$C$6:$C$305,C492,Pagos!$D$6:$D$305,D492,Pagos!$E$6:$E$305,"&lt;="&amp;Supuestos!$D$6,Pagos!$H$6:$H$305,"OK"),"")</f>
        <v/>
      </c>
      <c r="O492" s="48" t="str">
        <f>IF(AND(Creditos!$C$14&lt;&gt;"",Creditos!$M$14="OK",7&lt;=Creditos!$H$14),MIN(J492,MAX(0,N492-K492-H492)),"")</f>
        <v/>
      </c>
      <c r="P492" s="48" t="str">
        <f>IF(AND(Creditos!$C$14&lt;&gt;"",Creditos!$M$14="OK",7&lt;=Creditos!$H$14),MAX(0,L492-N492),"")</f>
        <v/>
      </c>
      <c r="Q492" s="50" t="str">
        <f>IF(AND(Creditos!$C$14&lt;&gt;"",Creditos!$M$14="OK",7&lt;=Creditos!$H$14),IF(AND(E492&lt;Supuestos!$D$6,P492&gt;0.005),Supuestos!$D$6-E492,0),"")</f>
        <v/>
      </c>
      <c r="R492" s="48" t="str">
        <f>IF(AND(Creditos!$C$14&lt;&gt;"",Creditos!$M$14="OK",7&lt;=Creditos!$H$14),MAX(0,N492-L492),"")</f>
        <v/>
      </c>
      <c r="S492" s="46" t="str">
        <f>IF(AND(Creditos!$C$14&lt;&gt;"",Creditos!$M$14="OK",7&lt;=Creditos!$H$14),IF(R492&gt;0.005,"Exceso sin imputar",IF(P492&lt;=0.005,"Pagada",IF(E492&lt;Supuestos!$D$6,"Vencida",IF(E492=Supuestos!$D$6,"Vence hoy","Por vencer")))),"")</f>
        <v/>
      </c>
      <c r="T492" s="46">
        <f>IF(AND(Creditos!$C$14&lt;&gt;"",Creditos!$M$14="OK",7&lt;=Creditos!$H$14),IF(P492&gt;0.005,E492,999999),999999)</f>
        <v>999999</v>
      </c>
    </row>
    <row r="493" ht="25.5" customHeight="1">
      <c r="C493" s="46" t="str">
        <f>IF(AND(Creditos!$C$14&lt;&gt;"",Creditos!$M$14="OK",8&lt;=Creditos!$H$14),Creditos!$C$14,"")</f>
        <v/>
      </c>
      <c r="D493" s="46" t="str">
        <f>IF(AND(Creditos!$C$14&lt;&gt;"",Creditos!$M$14="OK",8&lt;=Creditos!$H$14),8,"")</f>
        <v/>
      </c>
      <c r="E493" s="47" t="str">
        <f>IF(AND(Creditos!$C$14&lt;&gt;"",Creditos!$M$14="OK",8&lt;=Creditos!$H$14),EDATE(Creditos!$I$14,7),"")</f>
        <v/>
      </c>
      <c r="F493" s="48" t="str">
        <f>IF(AND(Creditos!$C$14&lt;&gt;"",Creditos!$M$14="OK",8&lt;=Creditos!$H$14),M492,"")</f>
        <v/>
      </c>
      <c r="G493" s="49" t="str">
        <f>IF(AND(Creditos!$C$14&lt;&gt;"",Creditos!$M$14="OK",8&lt;=Creditos!$H$14),Creditos!$N$14,"")</f>
        <v/>
      </c>
      <c r="H493" s="48" t="str">
        <f>IF(AND(Creditos!$C$14&lt;&gt;"",Creditos!$M$14="OK",8&lt;=Creditos!$H$14),ROUND(F493*G493,2),"")</f>
        <v/>
      </c>
      <c r="I493" s="48" t="str">
        <f>IF(AND(Creditos!$C$14&lt;&gt;"",Creditos!$M$14="OK",8&lt;=Creditos!$H$14),IF(8=Creditos!$H$14,F493+H493,MIN(Creditos!$O$14,F493+H493)),"")</f>
        <v/>
      </c>
      <c r="J493" s="48" t="str">
        <f>IF(AND(Creditos!$C$14&lt;&gt;"",Creditos!$M$14="OK",8&lt;=Creditos!$H$14),MIN(F493,MAX(0,I493-H493)),"")</f>
        <v/>
      </c>
      <c r="K493" s="48" t="str">
        <f>IF(AND(Creditos!$C$14&lt;&gt;"",Creditos!$M$14="OK",8&lt;=Creditos!$H$14),Creditos!$J$14+Creditos!$K$14,"")</f>
        <v/>
      </c>
      <c r="L493" s="48" t="str">
        <f>IF(AND(Creditos!$C$14&lt;&gt;"",Creditos!$M$14="OK",8&lt;=Creditos!$H$14),I493+K493,"")</f>
        <v/>
      </c>
      <c r="M493" s="48" t="str">
        <f>IF(AND(Creditos!$C$14&lt;&gt;"",Creditos!$M$14="OK",8&lt;=Creditos!$H$14),MAX(0,F493-J493),"")</f>
        <v/>
      </c>
      <c r="N493" s="48" t="str">
        <f>IF(AND(Creditos!$C$14&lt;&gt;"",Creditos!$M$14="OK",8&lt;=Creditos!$H$14),SUMIFS(Pagos!$F$6:$F$305,Pagos!$C$6:$C$305,C493,Pagos!$D$6:$D$305,D493,Pagos!$E$6:$E$305,"&lt;="&amp;Supuestos!$D$6,Pagos!$H$6:$H$305,"OK"),"")</f>
        <v/>
      </c>
      <c r="O493" s="48" t="str">
        <f>IF(AND(Creditos!$C$14&lt;&gt;"",Creditos!$M$14="OK",8&lt;=Creditos!$H$14),MIN(J493,MAX(0,N493-K493-H493)),"")</f>
        <v/>
      </c>
      <c r="P493" s="48" t="str">
        <f>IF(AND(Creditos!$C$14&lt;&gt;"",Creditos!$M$14="OK",8&lt;=Creditos!$H$14),MAX(0,L493-N493),"")</f>
        <v/>
      </c>
      <c r="Q493" s="50" t="str">
        <f>IF(AND(Creditos!$C$14&lt;&gt;"",Creditos!$M$14="OK",8&lt;=Creditos!$H$14),IF(AND(E493&lt;Supuestos!$D$6,P493&gt;0.005),Supuestos!$D$6-E493,0),"")</f>
        <v/>
      </c>
      <c r="R493" s="48" t="str">
        <f>IF(AND(Creditos!$C$14&lt;&gt;"",Creditos!$M$14="OK",8&lt;=Creditos!$H$14),MAX(0,N493-L493),"")</f>
        <v/>
      </c>
      <c r="S493" s="46" t="str">
        <f>IF(AND(Creditos!$C$14&lt;&gt;"",Creditos!$M$14="OK",8&lt;=Creditos!$H$14),IF(R493&gt;0.005,"Exceso sin imputar",IF(P493&lt;=0.005,"Pagada",IF(E493&lt;Supuestos!$D$6,"Vencida",IF(E493=Supuestos!$D$6,"Vence hoy","Por vencer")))),"")</f>
        <v/>
      </c>
      <c r="T493" s="46">
        <f>IF(AND(Creditos!$C$14&lt;&gt;"",Creditos!$M$14="OK",8&lt;=Creditos!$H$14),IF(P493&gt;0.005,E493,999999),999999)</f>
        <v>999999</v>
      </c>
    </row>
    <row r="494" ht="25.5" customHeight="1">
      <c r="C494" s="46" t="str">
        <f>IF(AND(Creditos!$C$14&lt;&gt;"",Creditos!$M$14="OK",9&lt;=Creditos!$H$14),Creditos!$C$14,"")</f>
        <v/>
      </c>
      <c r="D494" s="46" t="str">
        <f>IF(AND(Creditos!$C$14&lt;&gt;"",Creditos!$M$14="OK",9&lt;=Creditos!$H$14),9,"")</f>
        <v/>
      </c>
      <c r="E494" s="47" t="str">
        <f>IF(AND(Creditos!$C$14&lt;&gt;"",Creditos!$M$14="OK",9&lt;=Creditos!$H$14),EDATE(Creditos!$I$14,8),"")</f>
        <v/>
      </c>
      <c r="F494" s="48" t="str">
        <f>IF(AND(Creditos!$C$14&lt;&gt;"",Creditos!$M$14="OK",9&lt;=Creditos!$H$14),M493,"")</f>
        <v/>
      </c>
      <c r="G494" s="49" t="str">
        <f>IF(AND(Creditos!$C$14&lt;&gt;"",Creditos!$M$14="OK",9&lt;=Creditos!$H$14),Creditos!$N$14,"")</f>
        <v/>
      </c>
      <c r="H494" s="48" t="str">
        <f>IF(AND(Creditos!$C$14&lt;&gt;"",Creditos!$M$14="OK",9&lt;=Creditos!$H$14),ROUND(F494*G494,2),"")</f>
        <v/>
      </c>
      <c r="I494" s="48" t="str">
        <f>IF(AND(Creditos!$C$14&lt;&gt;"",Creditos!$M$14="OK",9&lt;=Creditos!$H$14),IF(9=Creditos!$H$14,F494+H494,MIN(Creditos!$O$14,F494+H494)),"")</f>
        <v/>
      </c>
      <c r="J494" s="48" t="str">
        <f>IF(AND(Creditos!$C$14&lt;&gt;"",Creditos!$M$14="OK",9&lt;=Creditos!$H$14),MIN(F494,MAX(0,I494-H494)),"")</f>
        <v/>
      </c>
      <c r="K494" s="48" t="str">
        <f>IF(AND(Creditos!$C$14&lt;&gt;"",Creditos!$M$14="OK",9&lt;=Creditos!$H$14),Creditos!$J$14+Creditos!$K$14,"")</f>
        <v/>
      </c>
      <c r="L494" s="48" t="str">
        <f>IF(AND(Creditos!$C$14&lt;&gt;"",Creditos!$M$14="OK",9&lt;=Creditos!$H$14),I494+K494,"")</f>
        <v/>
      </c>
      <c r="M494" s="48" t="str">
        <f>IF(AND(Creditos!$C$14&lt;&gt;"",Creditos!$M$14="OK",9&lt;=Creditos!$H$14),MAX(0,F494-J494),"")</f>
        <v/>
      </c>
      <c r="N494" s="48" t="str">
        <f>IF(AND(Creditos!$C$14&lt;&gt;"",Creditos!$M$14="OK",9&lt;=Creditos!$H$14),SUMIFS(Pagos!$F$6:$F$305,Pagos!$C$6:$C$305,C494,Pagos!$D$6:$D$305,D494,Pagos!$E$6:$E$305,"&lt;="&amp;Supuestos!$D$6,Pagos!$H$6:$H$305,"OK"),"")</f>
        <v/>
      </c>
      <c r="O494" s="48" t="str">
        <f>IF(AND(Creditos!$C$14&lt;&gt;"",Creditos!$M$14="OK",9&lt;=Creditos!$H$14),MIN(J494,MAX(0,N494-K494-H494)),"")</f>
        <v/>
      </c>
      <c r="P494" s="48" t="str">
        <f>IF(AND(Creditos!$C$14&lt;&gt;"",Creditos!$M$14="OK",9&lt;=Creditos!$H$14),MAX(0,L494-N494),"")</f>
        <v/>
      </c>
      <c r="Q494" s="50" t="str">
        <f>IF(AND(Creditos!$C$14&lt;&gt;"",Creditos!$M$14="OK",9&lt;=Creditos!$H$14),IF(AND(E494&lt;Supuestos!$D$6,P494&gt;0.005),Supuestos!$D$6-E494,0),"")</f>
        <v/>
      </c>
      <c r="R494" s="48" t="str">
        <f>IF(AND(Creditos!$C$14&lt;&gt;"",Creditos!$M$14="OK",9&lt;=Creditos!$H$14),MAX(0,N494-L494),"")</f>
        <v/>
      </c>
      <c r="S494" s="46" t="str">
        <f>IF(AND(Creditos!$C$14&lt;&gt;"",Creditos!$M$14="OK",9&lt;=Creditos!$H$14),IF(R494&gt;0.005,"Exceso sin imputar",IF(P494&lt;=0.005,"Pagada",IF(E494&lt;Supuestos!$D$6,"Vencida",IF(E494=Supuestos!$D$6,"Vence hoy","Por vencer")))),"")</f>
        <v/>
      </c>
      <c r="T494" s="46">
        <f>IF(AND(Creditos!$C$14&lt;&gt;"",Creditos!$M$14="OK",9&lt;=Creditos!$H$14),IF(P494&gt;0.005,E494,999999),999999)</f>
        <v>999999</v>
      </c>
    </row>
    <row r="495" ht="25.5" customHeight="1">
      <c r="C495" s="46" t="str">
        <f>IF(AND(Creditos!$C$14&lt;&gt;"",Creditos!$M$14="OK",10&lt;=Creditos!$H$14),Creditos!$C$14,"")</f>
        <v/>
      </c>
      <c r="D495" s="46" t="str">
        <f>IF(AND(Creditos!$C$14&lt;&gt;"",Creditos!$M$14="OK",10&lt;=Creditos!$H$14),10,"")</f>
        <v/>
      </c>
      <c r="E495" s="47" t="str">
        <f>IF(AND(Creditos!$C$14&lt;&gt;"",Creditos!$M$14="OK",10&lt;=Creditos!$H$14),EDATE(Creditos!$I$14,9),"")</f>
        <v/>
      </c>
      <c r="F495" s="48" t="str">
        <f>IF(AND(Creditos!$C$14&lt;&gt;"",Creditos!$M$14="OK",10&lt;=Creditos!$H$14),M494,"")</f>
        <v/>
      </c>
      <c r="G495" s="49" t="str">
        <f>IF(AND(Creditos!$C$14&lt;&gt;"",Creditos!$M$14="OK",10&lt;=Creditos!$H$14),Creditos!$N$14,"")</f>
        <v/>
      </c>
      <c r="H495" s="48" t="str">
        <f>IF(AND(Creditos!$C$14&lt;&gt;"",Creditos!$M$14="OK",10&lt;=Creditos!$H$14),ROUND(F495*G495,2),"")</f>
        <v/>
      </c>
      <c r="I495" s="48" t="str">
        <f>IF(AND(Creditos!$C$14&lt;&gt;"",Creditos!$M$14="OK",10&lt;=Creditos!$H$14),IF(10=Creditos!$H$14,F495+H495,MIN(Creditos!$O$14,F495+H495)),"")</f>
        <v/>
      </c>
      <c r="J495" s="48" t="str">
        <f>IF(AND(Creditos!$C$14&lt;&gt;"",Creditos!$M$14="OK",10&lt;=Creditos!$H$14),MIN(F495,MAX(0,I495-H495)),"")</f>
        <v/>
      </c>
      <c r="K495" s="48" t="str">
        <f>IF(AND(Creditos!$C$14&lt;&gt;"",Creditos!$M$14="OK",10&lt;=Creditos!$H$14),Creditos!$J$14+Creditos!$K$14,"")</f>
        <v/>
      </c>
      <c r="L495" s="48" t="str">
        <f>IF(AND(Creditos!$C$14&lt;&gt;"",Creditos!$M$14="OK",10&lt;=Creditos!$H$14),I495+K495,"")</f>
        <v/>
      </c>
      <c r="M495" s="48" t="str">
        <f>IF(AND(Creditos!$C$14&lt;&gt;"",Creditos!$M$14="OK",10&lt;=Creditos!$H$14),MAX(0,F495-J495),"")</f>
        <v/>
      </c>
      <c r="N495" s="48" t="str">
        <f>IF(AND(Creditos!$C$14&lt;&gt;"",Creditos!$M$14="OK",10&lt;=Creditos!$H$14),SUMIFS(Pagos!$F$6:$F$305,Pagos!$C$6:$C$305,C495,Pagos!$D$6:$D$305,D495,Pagos!$E$6:$E$305,"&lt;="&amp;Supuestos!$D$6,Pagos!$H$6:$H$305,"OK"),"")</f>
        <v/>
      </c>
      <c r="O495" s="48" t="str">
        <f>IF(AND(Creditos!$C$14&lt;&gt;"",Creditos!$M$14="OK",10&lt;=Creditos!$H$14),MIN(J495,MAX(0,N495-K495-H495)),"")</f>
        <v/>
      </c>
      <c r="P495" s="48" t="str">
        <f>IF(AND(Creditos!$C$14&lt;&gt;"",Creditos!$M$14="OK",10&lt;=Creditos!$H$14),MAX(0,L495-N495),"")</f>
        <v/>
      </c>
      <c r="Q495" s="50" t="str">
        <f>IF(AND(Creditos!$C$14&lt;&gt;"",Creditos!$M$14="OK",10&lt;=Creditos!$H$14),IF(AND(E495&lt;Supuestos!$D$6,P495&gt;0.005),Supuestos!$D$6-E495,0),"")</f>
        <v/>
      </c>
      <c r="R495" s="48" t="str">
        <f>IF(AND(Creditos!$C$14&lt;&gt;"",Creditos!$M$14="OK",10&lt;=Creditos!$H$14),MAX(0,N495-L495),"")</f>
        <v/>
      </c>
      <c r="S495" s="46" t="str">
        <f>IF(AND(Creditos!$C$14&lt;&gt;"",Creditos!$M$14="OK",10&lt;=Creditos!$H$14),IF(R495&gt;0.005,"Exceso sin imputar",IF(P495&lt;=0.005,"Pagada",IF(E495&lt;Supuestos!$D$6,"Vencida",IF(E495=Supuestos!$D$6,"Vence hoy","Por vencer")))),"")</f>
        <v/>
      </c>
      <c r="T495" s="46">
        <f>IF(AND(Creditos!$C$14&lt;&gt;"",Creditos!$M$14="OK",10&lt;=Creditos!$H$14),IF(P495&gt;0.005,E495,999999),999999)</f>
        <v>999999</v>
      </c>
    </row>
    <row r="496" ht="25.5" customHeight="1">
      <c r="C496" s="46" t="str">
        <f>IF(AND(Creditos!$C$14&lt;&gt;"",Creditos!$M$14="OK",11&lt;=Creditos!$H$14),Creditos!$C$14,"")</f>
        <v/>
      </c>
      <c r="D496" s="46" t="str">
        <f>IF(AND(Creditos!$C$14&lt;&gt;"",Creditos!$M$14="OK",11&lt;=Creditos!$H$14),11,"")</f>
        <v/>
      </c>
      <c r="E496" s="47" t="str">
        <f>IF(AND(Creditos!$C$14&lt;&gt;"",Creditos!$M$14="OK",11&lt;=Creditos!$H$14),EDATE(Creditos!$I$14,10),"")</f>
        <v/>
      </c>
      <c r="F496" s="48" t="str">
        <f>IF(AND(Creditos!$C$14&lt;&gt;"",Creditos!$M$14="OK",11&lt;=Creditos!$H$14),M495,"")</f>
        <v/>
      </c>
      <c r="G496" s="49" t="str">
        <f>IF(AND(Creditos!$C$14&lt;&gt;"",Creditos!$M$14="OK",11&lt;=Creditos!$H$14),Creditos!$N$14,"")</f>
        <v/>
      </c>
      <c r="H496" s="48" t="str">
        <f>IF(AND(Creditos!$C$14&lt;&gt;"",Creditos!$M$14="OK",11&lt;=Creditos!$H$14),ROUND(F496*G496,2),"")</f>
        <v/>
      </c>
      <c r="I496" s="48" t="str">
        <f>IF(AND(Creditos!$C$14&lt;&gt;"",Creditos!$M$14="OK",11&lt;=Creditos!$H$14),IF(11=Creditos!$H$14,F496+H496,MIN(Creditos!$O$14,F496+H496)),"")</f>
        <v/>
      </c>
      <c r="J496" s="48" t="str">
        <f>IF(AND(Creditos!$C$14&lt;&gt;"",Creditos!$M$14="OK",11&lt;=Creditos!$H$14),MIN(F496,MAX(0,I496-H496)),"")</f>
        <v/>
      </c>
      <c r="K496" s="48" t="str">
        <f>IF(AND(Creditos!$C$14&lt;&gt;"",Creditos!$M$14="OK",11&lt;=Creditos!$H$14),Creditos!$J$14+Creditos!$K$14,"")</f>
        <v/>
      </c>
      <c r="L496" s="48" t="str">
        <f>IF(AND(Creditos!$C$14&lt;&gt;"",Creditos!$M$14="OK",11&lt;=Creditos!$H$14),I496+K496,"")</f>
        <v/>
      </c>
      <c r="M496" s="48" t="str">
        <f>IF(AND(Creditos!$C$14&lt;&gt;"",Creditos!$M$14="OK",11&lt;=Creditos!$H$14),MAX(0,F496-J496),"")</f>
        <v/>
      </c>
      <c r="N496" s="48" t="str">
        <f>IF(AND(Creditos!$C$14&lt;&gt;"",Creditos!$M$14="OK",11&lt;=Creditos!$H$14),SUMIFS(Pagos!$F$6:$F$305,Pagos!$C$6:$C$305,C496,Pagos!$D$6:$D$305,D496,Pagos!$E$6:$E$305,"&lt;="&amp;Supuestos!$D$6,Pagos!$H$6:$H$305,"OK"),"")</f>
        <v/>
      </c>
      <c r="O496" s="48" t="str">
        <f>IF(AND(Creditos!$C$14&lt;&gt;"",Creditos!$M$14="OK",11&lt;=Creditos!$H$14),MIN(J496,MAX(0,N496-K496-H496)),"")</f>
        <v/>
      </c>
      <c r="P496" s="48" t="str">
        <f>IF(AND(Creditos!$C$14&lt;&gt;"",Creditos!$M$14="OK",11&lt;=Creditos!$H$14),MAX(0,L496-N496),"")</f>
        <v/>
      </c>
      <c r="Q496" s="50" t="str">
        <f>IF(AND(Creditos!$C$14&lt;&gt;"",Creditos!$M$14="OK",11&lt;=Creditos!$H$14),IF(AND(E496&lt;Supuestos!$D$6,P496&gt;0.005),Supuestos!$D$6-E496,0),"")</f>
        <v/>
      </c>
      <c r="R496" s="48" t="str">
        <f>IF(AND(Creditos!$C$14&lt;&gt;"",Creditos!$M$14="OK",11&lt;=Creditos!$H$14),MAX(0,N496-L496),"")</f>
        <v/>
      </c>
      <c r="S496" s="46" t="str">
        <f>IF(AND(Creditos!$C$14&lt;&gt;"",Creditos!$M$14="OK",11&lt;=Creditos!$H$14),IF(R496&gt;0.005,"Exceso sin imputar",IF(P496&lt;=0.005,"Pagada",IF(E496&lt;Supuestos!$D$6,"Vencida",IF(E496=Supuestos!$D$6,"Vence hoy","Por vencer")))),"")</f>
        <v/>
      </c>
      <c r="T496" s="46">
        <f>IF(AND(Creditos!$C$14&lt;&gt;"",Creditos!$M$14="OK",11&lt;=Creditos!$H$14),IF(P496&gt;0.005,E496,999999),999999)</f>
        <v>999999</v>
      </c>
    </row>
    <row r="497" ht="25.5" customHeight="1">
      <c r="C497" s="46" t="str">
        <f>IF(AND(Creditos!$C$14&lt;&gt;"",Creditos!$M$14="OK",12&lt;=Creditos!$H$14),Creditos!$C$14,"")</f>
        <v/>
      </c>
      <c r="D497" s="46" t="str">
        <f>IF(AND(Creditos!$C$14&lt;&gt;"",Creditos!$M$14="OK",12&lt;=Creditos!$H$14),12,"")</f>
        <v/>
      </c>
      <c r="E497" s="47" t="str">
        <f>IF(AND(Creditos!$C$14&lt;&gt;"",Creditos!$M$14="OK",12&lt;=Creditos!$H$14),EDATE(Creditos!$I$14,11),"")</f>
        <v/>
      </c>
      <c r="F497" s="48" t="str">
        <f>IF(AND(Creditos!$C$14&lt;&gt;"",Creditos!$M$14="OK",12&lt;=Creditos!$H$14),M496,"")</f>
        <v/>
      </c>
      <c r="G497" s="49" t="str">
        <f>IF(AND(Creditos!$C$14&lt;&gt;"",Creditos!$M$14="OK",12&lt;=Creditos!$H$14),Creditos!$N$14,"")</f>
        <v/>
      </c>
      <c r="H497" s="48" t="str">
        <f>IF(AND(Creditos!$C$14&lt;&gt;"",Creditos!$M$14="OK",12&lt;=Creditos!$H$14),ROUND(F497*G497,2),"")</f>
        <v/>
      </c>
      <c r="I497" s="48" t="str">
        <f>IF(AND(Creditos!$C$14&lt;&gt;"",Creditos!$M$14="OK",12&lt;=Creditos!$H$14),IF(12=Creditos!$H$14,F497+H497,MIN(Creditos!$O$14,F497+H497)),"")</f>
        <v/>
      </c>
      <c r="J497" s="48" t="str">
        <f>IF(AND(Creditos!$C$14&lt;&gt;"",Creditos!$M$14="OK",12&lt;=Creditos!$H$14),MIN(F497,MAX(0,I497-H497)),"")</f>
        <v/>
      </c>
      <c r="K497" s="48" t="str">
        <f>IF(AND(Creditos!$C$14&lt;&gt;"",Creditos!$M$14="OK",12&lt;=Creditos!$H$14),Creditos!$J$14+Creditos!$K$14,"")</f>
        <v/>
      </c>
      <c r="L497" s="48" t="str">
        <f>IF(AND(Creditos!$C$14&lt;&gt;"",Creditos!$M$14="OK",12&lt;=Creditos!$H$14),I497+K497,"")</f>
        <v/>
      </c>
      <c r="M497" s="48" t="str">
        <f>IF(AND(Creditos!$C$14&lt;&gt;"",Creditos!$M$14="OK",12&lt;=Creditos!$H$14),MAX(0,F497-J497),"")</f>
        <v/>
      </c>
      <c r="N497" s="48" t="str">
        <f>IF(AND(Creditos!$C$14&lt;&gt;"",Creditos!$M$14="OK",12&lt;=Creditos!$H$14),SUMIFS(Pagos!$F$6:$F$305,Pagos!$C$6:$C$305,C497,Pagos!$D$6:$D$305,D497,Pagos!$E$6:$E$305,"&lt;="&amp;Supuestos!$D$6,Pagos!$H$6:$H$305,"OK"),"")</f>
        <v/>
      </c>
      <c r="O497" s="48" t="str">
        <f>IF(AND(Creditos!$C$14&lt;&gt;"",Creditos!$M$14="OK",12&lt;=Creditos!$H$14),MIN(J497,MAX(0,N497-K497-H497)),"")</f>
        <v/>
      </c>
      <c r="P497" s="48" t="str">
        <f>IF(AND(Creditos!$C$14&lt;&gt;"",Creditos!$M$14="OK",12&lt;=Creditos!$H$14),MAX(0,L497-N497),"")</f>
        <v/>
      </c>
      <c r="Q497" s="50" t="str">
        <f>IF(AND(Creditos!$C$14&lt;&gt;"",Creditos!$M$14="OK",12&lt;=Creditos!$H$14),IF(AND(E497&lt;Supuestos!$D$6,P497&gt;0.005),Supuestos!$D$6-E497,0),"")</f>
        <v/>
      </c>
      <c r="R497" s="48" t="str">
        <f>IF(AND(Creditos!$C$14&lt;&gt;"",Creditos!$M$14="OK",12&lt;=Creditos!$H$14),MAX(0,N497-L497),"")</f>
        <v/>
      </c>
      <c r="S497" s="46" t="str">
        <f>IF(AND(Creditos!$C$14&lt;&gt;"",Creditos!$M$14="OK",12&lt;=Creditos!$H$14),IF(R497&gt;0.005,"Exceso sin imputar",IF(P497&lt;=0.005,"Pagada",IF(E497&lt;Supuestos!$D$6,"Vencida",IF(E497=Supuestos!$D$6,"Vence hoy","Por vencer")))),"")</f>
        <v/>
      </c>
      <c r="T497" s="46">
        <f>IF(AND(Creditos!$C$14&lt;&gt;"",Creditos!$M$14="OK",12&lt;=Creditos!$H$14),IF(P497&gt;0.005,E497,999999),999999)</f>
        <v>999999</v>
      </c>
    </row>
    <row r="498" ht="25.5" customHeight="1">
      <c r="C498" s="46" t="str">
        <f>IF(AND(Creditos!$C$14&lt;&gt;"",Creditos!$M$14="OK",13&lt;=Creditos!$H$14),Creditos!$C$14,"")</f>
        <v/>
      </c>
      <c r="D498" s="46" t="str">
        <f>IF(AND(Creditos!$C$14&lt;&gt;"",Creditos!$M$14="OK",13&lt;=Creditos!$H$14),13,"")</f>
        <v/>
      </c>
      <c r="E498" s="47" t="str">
        <f>IF(AND(Creditos!$C$14&lt;&gt;"",Creditos!$M$14="OK",13&lt;=Creditos!$H$14),EDATE(Creditos!$I$14,12),"")</f>
        <v/>
      </c>
      <c r="F498" s="48" t="str">
        <f>IF(AND(Creditos!$C$14&lt;&gt;"",Creditos!$M$14="OK",13&lt;=Creditos!$H$14),M497,"")</f>
        <v/>
      </c>
      <c r="G498" s="49" t="str">
        <f>IF(AND(Creditos!$C$14&lt;&gt;"",Creditos!$M$14="OK",13&lt;=Creditos!$H$14),Creditos!$N$14,"")</f>
        <v/>
      </c>
      <c r="H498" s="48" t="str">
        <f>IF(AND(Creditos!$C$14&lt;&gt;"",Creditos!$M$14="OK",13&lt;=Creditos!$H$14),ROUND(F498*G498,2),"")</f>
        <v/>
      </c>
      <c r="I498" s="48" t="str">
        <f>IF(AND(Creditos!$C$14&lt;&gt;"",Creditos!$M$14="OK",13&lt;=Creditos!$H$14),IF(13=Creditos!$H$14,F498+H498,MIN(Creditos!$O$14,F498+H498)),"")</f>
        <v/>
      </c>
      <c r="J498" s="48" t="str">
        <f>IF(AND(Creditos!$C$14&lt;&gt;"",Creditos!$M$14="OK",13&lt;=Creditos!$H$14),MIN(F498,MAX(0,I498-H498)),"")</f>
        <v/>
      </c>
      <c r="K498" s="48" t="str">
        <f>IF(AND(Creditos!$C$14&lt;&gt;"",Creditos!$M$14="OK",13&lt;=Creditos!$H$14),Creditos!$J$14+Creditos!$K$14,"")</f>
        <v/>
      </c>
      <c r="L498" s="48" t="str">
        <f>IF(AND(Creditos!$C$14&lt;&gt;"",Creditos!$M$14="OK",13&lt;=Creditos!$H$14),I498+K498,"")</f>
        <v/>
      </c>
      <c r="M498" s="48" t="str">
        <f>IF(AND(Creditos!$C$14&lt;&gt;"",Creditos!$M$14="OK",13&lt;=Creditos!$H$14),MAX(0,F498-J498),"")</f>
        <v/>
      </c>
      <c r="N498" s="48" t="str">
        <f>IF(AND(Creditos!$C$14&lt;&gt;"",Creditos!$M$14="OK",13&lt;=Creditos!$H$14),SUMIFS(Pagos!$F$6:$F$305,Pagos!$C$6:$C$305,C498,Pagos!$D$6:$D$305,D498,Pagos!$E$6:$E$305,"&lt;="&amp;Supuestos!$D$6,Pagos!$H$6:$H$305,"OK"),"")</f>
        <v/>
      </c>
      <c r="O498" s="48" t="str">
        <f>IF(AND(Creditos!$C$14&lt;&gt;"",Creditos!$M$14="OK",13&lt;=Creditos!$H$14),MIN(J498,MAX(0,N498-K498-H498)),"")</f>
        <v/>
      </c>
      <c r="P498" s="48" t="str">
        <f>IF(AND(Creditos!$C$14&lt;&gt;"",Creditos!$M$14="OK",13&lt;=Creditos!$H$14),MAX(0,L498-N498),"")</f>
        <v/>
      </c>
      <c r="Q498" s="50" t="str">
        <f>IF(AND(Creditos!$C$14&lt;&gt;"",Creditos!$M$14="OK",13&lt;=Creditos!$H$14),IF(AND(E498&lt;Supuestos!$D$6,P498&gt;0.005),Supuestos!$D$6-E498,0),"")</f>
        <v/>
      </c>
      <c r="R498" s="48" t="str">
        <f>IF(AND(Creditos!$C$14&lt;&gt;"",Creditos!$M$14="OK",13&lt;=Creditos!$H$14),MAX(0,N498-L498),"")</f>
        <v/>
      </c>
      <c r="S498" s="46" t="str">
        <f>IF(AND(Creditos!$C$14&lt;&gt;"",Creditos!$M$14="OK",13&lt;=Creditos!$H$14),IF(R498&gt;0.005,"Exceso sin imputar",IF(P498&lt;=0.005,"Pagada",IF(E498&lt;Supuestos!$D$6,"Vencida",IF(E498=Supuestos!$D$6,"Vence hoy","Por vencer")))),"")</f>
        <v/>
      </c>
      <c r="T498" s="46">
        <f>IF(AND(Creditos!$C$14&lt;&gt;"",Creditos!$M$14="OK",13&lt;=Creditos!$H$14),IF(P498&gt;0.005,E498,999999),999999)</f>
        <v>999999</v>
      </c>
    </row>
    <row r="499" ht="25.5" customHeight="1">
      <c r="C499" s="46" t="str">
        <f>IF(AND(Creditos!$C$14&lt;&gt;"",Creditos!$M$14="OK",14&lt;=Creditos!$H$14),Creditos!$C$14,"")</f>
        <v/>
      </c>
      <c r="D499" s="46" t="str">
        <f>IF(AND(Creditos!$C$14&lt;&gt;"",Creditos!$M$14="OK",14&lt;=Creditos!$H$14),14,"")</f>
        <v/>
      </c>
      <c r="E499" s="47" t="str">
        <f>IF(AND(Creditos!$C$14&lt;&gt;"",Creditos!$M$14="OK",14&lt;=Creditos!$H$14),EDATE(Creditos!$I$14,13),"")</f>
        <v/>
      </c>
      <c r="F499" s="48" t="str">
        <f>IF(AND(Creditos!$C$14&lt;&gt;"",Creditos!$M$14="OK",14&lt;=Creditos!$H$14),M498,"")</f>
        <v/>
      </c>
      <c r="G499" s="49" t="str">
        <f>IF(AND(Creditos!$C$14&lt;&gt;"",Creditos!$M$14="OK",14&lt;=Creditos!$H$14),Creditos!$N$14,"")</f>
        <v/>
      </c>
      <c r="H499" s="48" t="str">
        <f>IF(AND(Creditos!$C$14&lt;&gt;"",Creditos!$M$14="OK",14&lt;=Creditos!$H$14),ROUND(F499*G499,2),"")</f>
        <v/>
      </c>
      <c r="I499" s="48" t="str">
        <f>IF(AND(Creditos!$C$14&lt;&gt;"",Creditos!$M$14="OK",14&lt;=Creditos!$H$14),IF(14=Creditos!$H$14,F499+H499,MIN(Creditos!$O$14,F499+H499)),"")</f>
        <v/>
      </c>
      <c r="J499" s="48" t="str">
        <f>IF(AND(Creditos!$C$14&lt;&gt;"",Creditos!$M$14="OK",14&lt;=Creditos!$H$14),MIN(F499,MAX(0,I499-H499)),"")</f>
        <v/>
      </c>
      <c r="K499" s="48" t="str">
        <f>IF(AND(Creditos!$C$14&lt;&gt;"",Creditos!$M$14="OK",14&lt;=Creditos!$H$14),Creditos!$J$14+Creditos!$K$14,"")</f>
        <v/>
      </c>
      <c r="L499" s="48" t="str">
        <f>IF(AND(Creditos!$C$14&lt;&gt;"",Creditos!$M$14="OK",14&lt;=Creditos!$H$14),I499+K499,"")</f>
        <v/>
      </c>
      <c r="M499" s="48" t="str">
        <f>IF(AND(Creditos!$C$14&lt;&gt;"",Creditos!$M$14="OK",14&lt;=Creditos!$H$14),MAX(0,F499-J499),"")</f>
        <v/>
      </c>
      <c r="N499" s="48" t="str">
        <f>IF(AND(Creditos!$C$14&lt;&gt;"",Creditos!$M$14="OK",14&lt;=Creditos!$H$14),SUMIFS(Pagos!$F$6:$F$305,Pagos!$C$6:$C$305,C499,Pagos!$D$6:$D$305,D499,Pagos!$E$6:$E$305,"&lt;="&amp;Supuestos!$D$6,Pagos!$H$6:$H$305,"OK"),"")</f>
        <v/>
      </c>
      <c r="O499" s="48" t="str">
        <f>IF(AND(Creditos!$C$14&lt;&gt;"",Creditos!$M$14="OK",14&lt;=Creditos!$H$14),MIN(J499,MAX(0,N499-K499-H499)),"")</f>
        <v/>
      </c>
      <c r="P499" s="48" t="str">
        <f>IF(AND(Creditos!$C$14&lt;&gt;"",Creditos!$M$14="OK",14&lt;=Creditos!$H$14),MAX(0,L499-N499),"")</f>
        <v/>
      </c>
      <c r="Q499" s="50" t="str">
        <f>IF(AND(Creditos!$C$14&lt;&gt;"",Creditos!$M$14="OK",14&lt;=Creditos!$H$14),IF(AND(E499&lt;Supuestos!$D$6,P499&gt;0.005),Supuestos!$D$6-E499,0),"")</f>
        <v/>
      </c>
      <c r="R499" s="48" t="str">
        <f>IF(AND(Creditos!$C$14&lt;&gt;"",Creditos!$M$14="OK",14&lt;=Creditos!$H$14),MAX(0,N499-L499),"")</f>
        <v/>
      </c>
      <c r="S499" s="46" t="str">
        <f>IF(AND(Creditos!$C$14&lt;&gt;"",Creditos!$M$14="OK",14&lt;=Creditos!$H$14),IF(R499&gt;0.005,"Exceso sin imputar",IF(P499&lt;=0.005,"Pagada",IF(E499&lt;Supuestos!$D$6,"Vencida",IF(E499=Supuestos!$D$6,"Vence hoy","Por vencer")))),"")</f>
        <v/>
      </c>
      <c r="T499" s="46">
        <f>IF(AND(Creditos!$C$14&lt;&gt;"",Creditos!$M$14="OK",14&lt;=Creditos!$H$14),IF(P499&gt;0.005,E499,999999),999999)</f>
        <v>999999</v>
      </c>
    </row>
    <row r="500" ht="25.5" customHeight="1">
      <c r="C500" s="46" t="str">
        <f>IF(AND(Creditos!$C$14&lt;&gt;"",Creditos!$M$14="OK",15&lt;=Creditos!$H$14),Creditos!$C$14,"")</f>
        <v/>
      </c>
      <c r="D500" s="46" t="str">
        <f>IF(AND(Creditos!$C$14&lt;&gt;"",Creditos!$M$14="OK",15&lt;=Creditos!$H$14),15,"")</f>
        <v/>
      </c>
      <c r="E500" s="47" t="str">
        <f>IF(AND(Creditos!$C$14&lt;&gt;"",Creditos!$M$14="OK",15&lt;=Creditos!$H$14),EDATE(Creditos!$I$14,14),"")</f>
        <v/>
      </c>
      <c r="F500" s="48" t="str">
        <f>IF(AND(Creditos!$C$14&lt;&gt;"",Creditos!$M$14="OK",15&lt;=Creditos!$H$14),M499,"")</f>
        <v/>
      </c>
      <c r="G500" s="49" t="str">
        <f>IF(AND(Creditos!$C$14&lt;&gt;"",Creditos!$M$14="OK",15&lt;=Creditos!$H$14),Creditos!$N$14,"")</f>
        <v/>
      </c>
      <c r="H500" s="48" t="str">
        <f>IF(AND(Creditos!$C$14&lt;&gt;"",Creditos!$M$14="OK",15&lt;=Creditos!$H$14),ROUND(F500*G500,2),"")</f>
        <v/>
      </c>
      <c r="I500" s="48" t="str">
        <f>IF(AND(Creditos!$C$14&lt;&gt;"",Creditos!$M$14="OK",15&lt;=Creditos!$H$14),IF(15=Creditos!$H$14,F500+H500,MIN(Creditos!$O$14,F500+H500)),"")</f>
        <v/>
      </c>
      <c r="J500" s="48" t="str">
        <f>IF(AND(Creditos!$C$14&lt;&gt;"",Creditos!$M$14="OK",15&lt;=Creditos!$H$14),MIN(F500,MAX(0,I500-H500)),"")</f>
        <v/>
      </c>
      <c r="K500" s="48" t="str">
        <f>IF(AND(Creditos!$C$14&lt;&gt;"",Creditos!$M$14="OK",15&lt;=Creditos!$H$14),Creditos!$J$14+Creditos!$K$14,"")</f>
        <v/>
      </c>
      <c r="L500" s="48" t="str">
        <f>IF(AND(Creditos!$C$14&lt;&gt;"",Creditos!$M$14="OK",15&lt;=Creditos!$H$14),I500+K500,"")</f>
        <v/>
      </c>
      <c r="M500" s="48" t="str">
        <f>IF(AND(Creditos!$C$14&lt;&gt;"",Creditos!$M$14="OK",15&lt;=Creditos!$H$14),MAX(0,F500-J500),"")</f>
        <v/>
      </c>
      <c r="N500" s="48" t="str">
        <f>IF(AND(Creditos!$C$14&lt;&gt;"",Creditos!$M$14="OK",15&lt;=Creditos!$H$14),SUMIFS(Pagos!$F$6:$F$305,Pagos!$C$6:$C$305,C500,Pagos!$D$6:$D$305,D500,Pagos!$E$6:$E$305,"&lt;="&amp;Supuestos!$D$6,Pagos!$H$6:$H$305,"OK"),"")</f>
        <v/>
      </c>
      <c r="O500" s="48" t="str">
        <f>IF(AND(Creditos!$C$14&lt;&gt;"",Creditos!$M$14="OK",15&lt;=Creditos!$H$14),MIN(J500,MAX(0,N500-K500-H500)),"")</f>
        <v/>
      </c>
      <c r="P500" s="48" t="str">
        <f>IF(AND(Creditos!$C$14&lt;&gt;"",Creditos!$M$14="OK",15&lt;=Creditos!$H$14),MAX(0,L500-N500),"")</f>
        <v/>
      </c>
      <c r="Q500" s="50" t="str">
        <f>IF(AND(Creditos!$C$14&lt;&gt;"",Creditos!$M$14="OK",15&lt;=Creditos!$H$14),IF(AND(E500&lt;Supuestos!$D$6,P500&gt;0.005),Supuestos!$D$6-E500,0),"")</f>
        <v/>
      </c>
      <c r="R500" s="48" t="str">
        <f>IF(AND(Creditos!$C$14&lt;&gt;"",Creditos!$M$14="OK",15&lt;=Creditos!$H$14),MAX(0,N500-L500),"")</f>
        <v/>
      </c>
      <c r="S500" s="46" t="str">
        <f>IF(AND(Creditos!$C$14&lt;&gt;"",Creditos!$M$14="OK",15&lt;=Creditos!$H$14),IF(R500&gt;0.005,"Exceso sin imputar",IF(P500&lt;=0.005,"Pagada",IF(E500&lt;Supuestos!$D$6,"Vencida",IF(E500=Supuestos!$D$6,"Vence hoy","Por vencer")))),"")</f>
        <v/>
      </c>
      <c r="T500" s="46">
        <f>IF(AND(Creditos!$C$14&lt;&gt;"",Creditos!$M$14="OK",15&lt;=Creditos!$H$14),IF(P500&gt;0.005,E500,999999),999999)</f>
        <v>999999</v>
      </c>
    </row>
    <row r="501" ht="25.5" customHeight="1">
      <c r="C501" s="46" t="str">
        <f>IF(AND(Creditos!$C$14&lt;&gt;"",Creditos!$M$14="OK",16&lt;=Creditos!$H$14),Creditos!$C$14,"")</f>
        <v/>
      </c>
      <c r="D501" s="46" t="str">
        <f>IF(AND(Creditos!$C$14&lt;&gt;"",Creditos!$M$14="OK",16&lt;=Creditos!$H$14),16,"")</f>
        <v/>
      </c>
      <c r="E501" s="47" t="str">
        <f>IF(AND(Creditos!$C$14&lt;&gt;"",Creditos!$M$14="OK",16&lt;=Creditos!$H$14),EDATE(Creditos!$I$14,15),"")</f>
        <v/>
      </c>
      <c r="F501" s="48" t="str">
        <f>IF(AND(Creditos!$C$14&lt;&gt;"",Creditos!$M$14="OK",16&lt;=Creditos!$H$14),M500,"")</f>
        <v/>
      </c>
      <c r="G501" s="49" t="str">
        <f>IF(AND(Creditos!$C$14&lt;&gt;"",Creditos!$M$14="OK",16&lt;=Creditos!$H$14),Creditos!$N$14,"")</f>
        <v/>
      </c>
      <c r="H501" s="48" t="str">
        <f>IF(AND(Creditos!$C$14&lt;&gt;"",Creditos!$M$14="OK",16&lt;=Creditos!$H$14),ROUND(F501*G501,2),"")</f>
        <v/>
      </c>
      <c r="I501" s="48" t="str">
        <f>IF(AND(Creditos!$C$14&lt;&gt;"",Creditos!$M$14="OK",16&lt;=Creditos!$H$14),IF(16=Creditos!$H$14,F501+H501,MIN(Creditos!$O$14,F501+H501)),"")</f>
        <v/>
      </c>
      <c r="J501" s="48" t="str">
        <f>IF(AND(Creditos!$C$14&lt;&gt;"",Creditos!$M$14="OK",16&lt;=Creditos!$H$14),MIN(F501,MAX(0,I501-H501)),"")</f>
        <v/>
      </c>
      <c r="K501" s="48" t="str">
        <f>IF(AND(Creditos!$C$14&lt;&gt;"",Creditos!$M$14="OK",16&lt;=Creditos!$H$14),Creditos!$J$14+Creditos!$K$14,"")</f>
        <v/>
      </c>
      <c r="L501" s="48" t="str">
        <f>IF(AND(Creditos!$C$14&lt;&gt;"",Creditos!$M$14="OK",16&lt;=Creditos!$H$14),I501+K501,"")</f>
        <v/>
      </c>
      <c r="M501" s="48" t="str">
        <f>IF(AND(Creditos!$C$14&lt;&gt;"",Creditos!$M$14="OK",16&lt;=Creditos!$H$14),MAX(0,F501-J501),"")</f>
        <v/>
      </c>
      <c r="N501" s="48" t="str">
        <f>IF(AND(Creditos!$C$14&lt;&gt;"",Creditos!$M$14="OK",16&lt;=Creditos!$H$14),SUMIFS(Pagos!$F$6:$F$305,Pagos!$C$6:$C$305,C501,Pagos!$D$6:$D$305,D501,Pagos!$E$6:$E$305,"&lt;="&amp;Supuestos!$D$6,Pagos!$H$6:$H$305,"OK"),"")</f>
        <v/>
      </c>
      <c r="O501" s="48" t="str">
        <f>IF(AND(Creditos!$C$14&lt;&gt;"",Creditos!$M$14="OK",16&lt;=Creditos!$H$14),MIN(J501,MAX(0,N501-K501-H501)),"")</f>
        <v/>
      </c>
      <c r="P501" s="48" t="str">
        <f>IF(AND(Creditos!$C$14&lt;&gt;"",Creditos!$M$14="OK",16&lt;=Creditos!$H$14),MAX(0,L501-N501),"")</f>
        <v/>
      </c>
      <c r="Q501" s="50" t="str">
        <f>IF(AND(Creditos!$C$14&lt;&gt;"",Creditos!$M$14="OK",16&lt;=Creditos!$H$14),IF(AND(E501&lt;Supuestos!$D$6,P501&gt;0.005),Supuestos!$D$6-E501,0),"")</f>
        <v/>
      </c>
      <c r="R501" s="48" t="str">
        <f>IF(AND(Creditos!$C$14&lt;&gt;"",Creditos!$M$14="OK",16&lt;=Creditos!$H$14),MAX(0,N501-L501),"")</f>
        <v/>
      </c>
      <c r="S501" s="46" t="str">
        <f>IF(AND(Creditos!$C$14&lt;&gt;"",Creditos!$M$14="OK",16&lt;=Creditos!$H$14),IF(R501&gt;0.005,"Exceso sin imputar",IF(P501&lt;=0.005,"Pagada",IF(E501&lt;Supuestos!$D$6,"Vencida",IF(E501=Supuestos!$D$6,"Vence hoy","Por vencer")))),"")</f>
        <v/>
      </c>
      <c r="T501" s="46">
        <f>IF(AND(Creditos!$C$14&lt;&gt;"",Creditos!$M$14="OK",16&lt;=Creditos!$H$14),IF(P501&gt;0.005,E501,999999),999999)</f>
        <v>999999</v>
      </c>
    </row>
    <row r="502" ht="25.5" customHeight="1">
      <c r="C502" s="46" t="str">
        <f>IF(AND(Creditos!$C$14&lt;&gt;"",Creditos!$M$14="OK",17&lt;=Creditos!$H$14),Creditos!$C$14,"")</f>
        <v/>
      </c>
      <c r="D502" s="46" t="str">
        <f>IF(AND(Creditos!$C$14&lt;&gt;"",Creditos!$M$14="OK",17&lt;=Creditos!$H$14),17,"")</f>
        <v/>
      </c>
      <c r="E502" s="47" t="str">
        <f>IF(AND(Creditos!$C$14&lt;&gt;"",Creditos!$M$14="OK",17&lt;=Creditos!$H$14),EDATE(Creditos!$I$14,16),"")</f>
        <v/>
      </c>
      <c r="F502" s="48" t="str">
        <f>IF(AND(Creditos!$C$14&lt;&gt;"",Creditos!$M$14="OK",17&lt;=Creditos!$H$14),M501,"")</f>
        <v/>
      </c>
      <c r="G502" s="49" t="str">
        <f>IF(AND(Creditos!$C$14&lt;&gt;"",Creditos!$M$14="OK",17&lt;=Creditos!$H$14),Creditos!$N$14,"")</f>
        <v/>
      </c>
      <c r="H502" s="48" t="str">
        <f>IF(AND(Creditos!$C$14&lt;&gt;"",Creditos!$M$14="OK",17&lt;=Creditos!$H$14),ROUND(F502*G502,2),"")</f>
        <v/>
      </c>
      <c r="I502" s="48" t="str">
        <f>IF(AND(Creditos!$C$14&lt;&gt;"",Creditos!$M$14="OK",17&lt;=Creditos!$H$14),IF(17=Creditos!$H$14,F502+H502,MIN(Creditos!$O$14,F502+H502)),"")</f>
        <v/>
      </c>
      <c r="J502" s="48" t="str">
        <f>IF(AND(Creditos!$C$14&lt;&gt;"",Creditos!$M$14="OK",17&lt;=Creditos!$H$14),MIN(F502,MAX(0,I502-H502)),"")</f>
        <v/>
      </c>
      <c r="K502" s="48" t="str">
        <f>IF(AND(Creditos!$C$14&lt;&gt;"",Creditos!$M$14="OK",17&lt;=Creditos!$H$14),Creditos!$J$14+Creditos!$K$14,"")</f>
        <v/>
      </c>
      <c r="L502" s="48" t="str">
        <f>IF(AND(Creditos!$C$14&lt;&gt;"",Creditos!$M$14="OK",17&lt;=Creditos!$H$14),I502+K502,"")</f>
        <v/>
      </c>
      <c r="M502" s="48" t="str">
        <f>IF(AND(Creditos!$C$14&lt;&gt;"",Creditos!$M$14="OK",17&lt;=Creditos!$H$14),MAX(0,F502-J502),"")</f>
        <v/>
      </c>
      <c r="N502" s="48" t="str">
        <f>IF(AND(Creditos!$C$14&lt;&gt;"",Creditos!$M$14="OK",17&lt;=Creditos!$H$14),SUMIFS(Pagos!$F$6:$F$305,Pagos!$C$6:$C$305,C502,Pagos!$D$6:$D$305,D502,Pagos!$E$6:$E$305,"&lt;="&amp;Supuestos!$D$6,Pagos!$H$6:$H$305,"OK"),"")</f>
        <v/>
      </c>
      <c r="O502" s="48" t="str">
        <f>IF(AND(Creditos!$C$14&lt;&gt;"",Creditos!$M$14="OK",17&lt;=Creditos!$H$14),MIN(J502,MAX(0,N502-K502-H502)),"")</f>
        <v/>
      </c>
      <c r="P502" s="48" t="str">
        <f>IF(AND(Creditos!$C$14&lt;&gt;"",Creditos!$M$14="OK",17&lt;=Creditos!$H$14),MAX(0,L502-N502),"")</f>
        <v/>
      </c>
      <c r="Q502" s="50" t="str">
        <f>IF(AND(Creditos!$C$14&lt;&gt;"",Creditos!$M$14="OK",17&lt;=Creditos!$H$14),IF(AND(E502&lt;Supuestos!$D$6,P502&gt;0.005),Supuestos!$D$6-E502,0),"")</f>
        <v/>
      </c>
      <c r="R502" s="48" t="str">
        <f>IF(AND(Creditos!$C$14&lt;&gt;"",Creditos!$M$14="OK",17&lt;=Creditos!$H$14),MAX(0,N502-L502),"")</f>
        <v/>
      </c>
      <c r="S502" s="46" t="str">
        <f>IF(AND(Creditos!$C$14&lt;&gt;"",Creditos!$M$14="OK",17&lt;=Creditos!$H$14),IF(R502&gt;0.005,"Exceso sin imputar",IF(P502&lt;=0.005,"Pagada",IF(E502&lt;Supuestos!$D$6,"Vencida",IF(E502=Supuestos!$D$6,"Vence hoy","Por vencer")))),"")</f>
        <v/>
      </c>
      <c r="T502" s="46">
        <f>IF(AND(Creditos!$C$14&lt;&gt;"",Creditos!$M$14="OK",17&lt;=Creditos!$H$14),IF(P502&gt;0.005,E502,999999),999999)</f>
        <v>999999</v>
      </c>
    </row>
    <row r="503" ht="25.5" customHeight="1">
      <c r="C503" s="46" t="str">
        <f>IF(AND(Creditos!$C$14&lt;&gt;"",Creditos!$M$14="OK",18&lt;=Creditos!$H$14),Creditos!$C$14,"")</f>
        <v/>
      </c>
      <c r="D503" s="46" t="str">
        <f>IF(AND(Creditos!$C$14&lt;&gt;"",Creditos!$M$14="OK",18&lt;=Creditos!$H$14),18,"")</f>
        <v/>
      </c>
      <c r="E503" s="47" t="str">
        <f>IF(AND(Creditos!$C$14&lt;&gt;"",Creditos!$M$14="OK",18&lt;=Creditos!$H$14),EDATE(Creditos!$I$14,17),"")</f>
        <v/>
      </c>
      <c r="F503" s="48" t="str">
        <f>IF(AND(Creditos!$C$14&lt;&gt;"",Creditos!$M$14="OK",18&lt;=Creditos!$H$14),M502,"")</f>
        <v/>
      </c>
      <c r="G503" s="49" t="str">
        <f>IF(AND(Creditos!$C$14&lt;&gt;"",Creditos!$M$14="OK",18&lt;=Creditos!$H$14),Creditos!$N$14,"")</f>
        <v/>
      </c>
      <c r="H503" s="48" t="str">
        <f>IF(AND(Creditos!$C$14&lt;&gt;"",Creditos!$M$14="OK",18&lt;=Creditos!$H$14),ROUND(F503*G503,2),"")</f>
        <v/>
      </c>
      <c r="I503" s="48" t="str">
        <f>IF(AND(Creditos!$C$14&lt;&gt;"",Creditos!$M$14="OK",18&lt;=Creditos!$H$14),IF(18=Creditos!$H$14,F503+H503,MIN(Creditos!$O$14,F503+H503)),"")</f>
        <v/>
      </c>
      <c r="J503" s="48" t="str">
        <f>IF(AND(Creditos!$C$14&lt;&gt;"",Creditos!$M$14="OK",18&lt;=Creditos!$H$14),MIN(F503,MAX(0,I503-H503)),"")</f>
        <v/>
      </c>
      <c r="K503" s="48" t="str">
        <f>IF(AND(Creditos!$C$14&lt;&gt;"",Creditos!$M$14="OK",18&lt;=Creditos!$H$14),Creditos!$J$14+Creditos!$K$14,"")</f>
        <v/>
      </c>
      <c r="L503" s="48" t="str">
        <f>IF(AND(Creditos!$C$14&lt;&gt;"",Creditos!$M$14="OK",18&lt;=Creditos!$H$14),I503+K503,"")</f>
        <v/>
      </c>
      <c r="M503" s="48" t="str">
        <f>IF(AND(Creditos!$C$14&lt;&gt;"",Creditos!$M$14="OK",18&lt;=Creditos!$H$14),MAX(0,F503-J503),"")</f>
        <v/>
      </c>
      <c r="N503" s="48" t="str">
        <f>IF(AND(Creditos!$C$14&lt;&gt;"",Creditos!$M$14="OK",18&lt;=Creditos!$H$14),SUMIFS(Pagos!$F$6:$F$305,Pagos!$C$6:$C$305,C503,Pagos!$D$6:$D$305,D503,Pagos!$E$6:$E$305,"&lt;="&amp;Supuestos!$D$6,Pagos!$H$6:$H$305,"OK"),"")</f>
        <v/>
      </c>
      <c r="O503" s="48" t="str">
        <f>IF(AND(Creditos!$C$14&lt;&gt;"",Creditos!$M$14="OK",18&lt;=Creditos!$H$14),MIN(J503,MAX(0,N503-K503-H503)),"")</f>
        <v/>
      </c>
      <c r="P503" s="48" t="str">
        <f>IF(AND(Creditos!$C$14&lt;&gt;"",Creditos!$M$14="OK",18&lt;=Creditos!$H$14),MAX(0,L503-N503),"")</f>
        <v/>
      </c>
      <c r="Q503" s="50" t="str">
        <f>IF(AND(Creditos!$C$14&lt;&gt;"",Creditos!$M$14="OK",18&lt;=Creditos!$H$14),IF(AND(E503&lt;Supuestos!$D$6,P503&gt;0.005),Supuestos!$D$6-E503,0),"")</f>
        <v/>
      </c>
      <c r="R503" s="48" t="str">
        <f>IF(AND(Creditos!$C$14&lt;&gt;"",Creditos!$M$14="OK",18&lt;=Creditos!$H$14),MAX(0,N503-L503),"")</f>
        <v/>
      </c>
      <c r="S503" s="46" t="str">
        <f>IF(AND(Creditos!$C$14&lt;&gt;"",Creditos!$M$14="OK",18&lt;=Creditos!$H$14),IF(R503&gt;0.005,"Exceso sin imputar",IF(P503&lt;=0.005,"Pagada",IF(E503&lt;Supuestos!$D$6,"Vencida",IF(E503=Supuestos!$D$6,"Vence hoy","Por vencer")))),"")</f>
        <v/>
      </c>
      <c r="T503" s="46">
        <f>IF(AND(Creditos!$C$14&lt;&gt;"",Creditos!$M$14="OK",18&lt;=Creditos!$H$14),IF(P503&gt;0.005,E503,999999),999999)</f>
        <v>999999</v>
      </c>
    </row>
    <row r="504" ht="25.5" customHeight="1">
      <c r="C504" s="46" t="str">
        <f>IF(AND(Creditos!$C$14&lt;&gt;"",Creditos!$M$14="OK",19&lt;=Creditos!$H$14),Creditos!$C$14,"")</f>
        <v/>
      </c>
      <c r="D504" s="46" t="str">
        <f>IF(AND(Creditos!$C$14&lt;&gt;"",Creditos!$M$14="OK",19&lt;=Creditos!$H$14),19,"")</f>
        <v/>
      </c>
      <c r="E504" s="47" t="str">
        <f>IF(AND(Creditos!$C$14&lt;&gt;"",Creditos!$M$14="OK",19&lt;=Creditos!$H$14),EDATE(Creditos!$I$14,18),"")</f>
        <v/>
      </c>
      <c r="F504" s="48" t="str">
        <f>IF(AND(Creditos!$C$14&lt;&gt;"",Creditos!$M$14="OK",19&lt;=Creditos!$H$14),M503,"")</f>
        <v/>
      </c>
      <c r="G504" s="49" t="str">
        <f>IF(AND(Creditos!$C$14&lt;&gt;"",Creditos!$M$14="OK",19&lt;=Creditos!$H$14),Creditos!$N$14,"")</f>
        <v/>
      </c>
      <c r="H504" s="48" t="str">
        <f>IF(AND(Creditos!$C$14&lt;&gt;"",Creditos!$M$14="OK",19&lt;=Creditos!$H$14),ROUND(F504*G504,2),"")</f>
        <v/>
      </c>
      <c r="I504" s="48" t="str">
        <f>IF(AND(Creditos!$C$14&lt;&gt;"",Creditos!$M$14="OK",19&lt;=Creditos!$H$14),IF(19=Creditos!$H$14,F504+H504,MIN(Creditos!$O$14,F504+H504)),"")</f>
        <v/>
      </c>
      <c r="J504" s="48" t="str">
        <f>IF(AND(Creditos!$C$14&lt;&gt;"",Creditos!$M$14="OK",19&lt;=Creditos!$H$14),MIN(F504,MAX(0,I504-H504)),"")</f>
        <v/>
      </c>
      <c r="K504" s="48" t="str">
        <f>IF(AND(Creditos!$C$14&lt;&gt;"",Creditos!$M$14="OK",19&lt;=Creditos!$H$14),Creditos!$J$14+Creditos!$K$14,"")</f>
        <v/>
      </c>
      <c r="L504" s="48" t="str">
        <f>IF(AND(Creditos!$C$14&lt;&gt;"",Creditos!$M$14="OK",19&lt;=Creditos!$H$14),I504+K504,"")</f>
        <v/>
      </c>
      <c r="M504" s="48" t="str">
        <f>IF(AND(Creditos!$C$14&lt;&gt;"",Creditos!$M$14="OK",19&lt;=Creditos!$H$14),MAX(0,F504-J504),"")</f>
        <v/>
      </c>
      <c r="N504" s="48" t="str">
        <f>IF(AND(Creditos!$C$14&lt;&gt;"",Creditos!$M$14="OK",19&lt;=Creditos!$H$14),SUMIFS(Pagos!$F$6:$F$305,Pagos!$C$6:$C$305,C504,Pagos!$D$6:$D$305,D504,Pagos!$E$6:$E$305,"&lt;="&amp;Supuestos!$D$6,Pagos!$H$6:$H$305,"OK"),"")</f>
        <v/>
      </c>
      <c r="O504" s="48" t="str">
        <f>IF(AND(Creditos!$C$14&lt;&gt;"",Creditos!$M$14="OK",19&lt;=Creditos!$H$14),MIN(J504,MAX(0,N504-K504-H504)),"")</f>
        <v/>
      </c>
      <c r="P504" s="48" t="str">
        <f>IF(AND(Creditos!$C$14&lt;&gt;"",Creditos!$M$14="OK",19&lt;=Creditos!$H$14),MAX(0,L504-N504),"")</f>
        <v/>
      </c>
      <c r="Q504" s="50" t="str">
        <f>IF(AND(Creditos!$C$14&lt;&gt;"",Creditos!$M$14="OK",19&lt;=Creditos!$H$14),IF(AND(E504&lt;Supuestos!$D$6,P504&gt;0.005),Supuestos!$D$6-E504,0),"")</f>
        <v/>
      </c>
      <c r="R504" s="48" t="str">
        <f>IF(AND(Creditos!$C$14&lt;&gt;"",Creditos!$M$14="OK",19&lt;=Creditos!$H$14),MAX(0,N504-L504),"")</f>
        <v/>
      </c>
      <c r="S504" s="46" t="str">
        <f>IF(AND(Creditos!$C$14&lt;&gt;"",Creditos!$M$14="OK",19&lt;=Creditos!$H$14),IF(R504&gt;0.005,"Exceso sin imputar",IF(P504&lt;=0.005,"Pagada",IF(E504&lt;Supuestos!$D$6,"Vencida",IF(E504=Supuestos!$D$6,"Vence hoy","Por vencer")))),"")</f>
        <v/>
      </c>
      <c r="T504" s="46">
        <f>IF(AND(Creditos!$C$14&lt;&gt;"",Creditos!$M$14="OK",19&lt;=Creditos!$H$14),IF(P504&gt;0.005,E504,999999),999999)</f>
        <v>999999</v>
      </c>
    </row>
    <row r="505" ht="25.5" customHeight="1">
      <c r="C505" s="46" t="str">
        <f>IF(AND(Creditos!$C$14&lt;&gt;"",Creditos!$M$14="OK",20&lt;=Creditos!$H$14),Creditos!$C$14,"")</f>
        <v/>
      </c>
      <c r="D505" s="46" t="str">
        <f>IF(AND(Creditos!$C$14&lt;&gt;"",Creditos!$M$14="OK",20&lt;=Creditos!$H$14),20,"")</f>
        <v/>
      </c>
      <c r="E505" s="47" t="str">
        <f>IF(AND(Creditos!$C$14&lt;&gt;"",Creditos!$M$14="OK",20&lt;=Creditos!$H$14),EDATE(Creditos!$I$14,19),"")</f>
        <v/>
      </c>
      <c r="F505" s="48" t="str">
        <f>IF(AND(Creditos!$C$14&lt;&gt;"",Creditos!$M$14="OK",20&lt;=Creditos!$H$14),M504,"")</f>
        <v/>
      </c>
      <c r="G505" s="49" t="str">
        <f>IF(AND(Creditos!$C$14&lt;&gt;"",Creditos!$M$14="OK",20&lt;=Creditos!$H$14),Creditos!$N$14,"")</f>
        <v/>
      </c>
      <c r="H505" s="48" t="str">
        <f>IF(AND(Creditos!$C$14&lt;&gt;"",Creditos!$M$14="OK",20&lt;=Creditos!$H$14),ROUND(F505*G505,2),"")</f>
        <v/>
      </c>
      <c r="I505" s="48" t="str">
        <f>IF(AND(Creditos!$C$14&lt;&gt;"",Creditos!$M$14="OK",20&lt;=Creditos!$H$14),IF(20=Creditos!$H$14,F505+H505,MIN(Creditos!$O$14,F505+H505)),"")</f>
        <v/>
      </c>
      <c r="J505" s="48" t="str">
        <f>IF(AND(Creditos!$C$14&lt;&gt;"",Creditos!$M$14="OK",20&lt;=Creditos!$H$14),MIN(F505,MAX(0,I505-H505)),"")</f>
        <v/>
      </c>
      <c r="K505" s="48" t="str">
        <f>IF(AND(Creditos!$C$14&lt;&gt;"",Creditos!$M$14="OK",20&lt;=Creditos!$H$14),Creditos!$J$14+Creditos!$K$14,"")</f>
        <v/>
      </c>
      <c r="L505" s="48" t="str">
        <f>IF(AND(Creditos!$C$14&lt;&gt;"",Creditos!$M$14="OK",20&lt;=Creditos!$H$14),I505+K505,"")</f>
        <v/>
      </c>
      <c r="M505" s="48" t="str">
        <f>IF(AND(Creditos!$C$14&lt;&gt;"",Creditos!$M$14="OK",20&lt;=Creditos!$H$14),MAX(0,F505-J505),"")</f>
        <v/>
      </c>
      <c r="N505" s="48" t="str">
        <f>IF(AND(Creditos!$C$14&lt;&gt;"",Creditos!$M$14="OK",20&lt;=Creditos!$H$14),SUMIFS(Pagos!$F$6:$F$305,Pagos!$C$6:$C$305,C505,Pagos!$D$6:$D$305,D505,Pagos!$E$6:$E$305,"&lt;="&amp;Supuestos!$D$6,Pagos!$H$6:$H$305,"OK"),"")</f>
        <v/>
      </c>
      <c r="O505" s="48" t="str">
        <f>IF(AND(Creditos!$C$14&lt;&gt;"",Creditos!$M$14="OK",20&lt;=Creditos!$H$14),MIN(J505,MAX(0,N505-K505-H505)),"")</f>
        <v/>
      </c>
      <c r="P505" s="48" t="str">
        <f>IF(AND(Creditos!$C$14&lt;&gt;"",Creditos!$M$14="OK",20&lt;=Creditos!$H$14),MAX(0,L505-N505),"")</f>
        <v/>
      </c>
      <c r="Q505" s="50" t="str">
        <f>IF(AND(Creditos!$C$14&lt;&gt;"",Creditos!$M$14="OK",20&lt;=Creditos!$H$14),IF(AND(E505&lt;Supuestos!$D$6,P505&gt;0.005),Supuestos!$D$6-E505,0),"")</f>
        <v/>
      </c>
      <c r="R505" s="48" t="str">
        <f>IF(AND(Creditos!$C$14&lt;&gt;"",Creditos!$M$14="OK",20&lt;=Creditos!$H$14),MAX(0,N505-L505),"")</f>
        <v/>
      </c>
      <c r="S505" s="46" t="str">
        <f>IF(AND(Creditos!$C$14&lt;&gt;"",Creditos!$M$14="OK",20&lt;=Creditos!$H$14),IF(R505&gt;0.005,"Exceso sin imputar",IF(P505&lt;=0.005,"Pagada",IF(E505&lt;Supuestos!$D$6,"Vencida",IF(E505=Supuestos!$D$6,"Vence hoy","Por vencer")))),"")</f>
        <v/>
      </c>
      <c r="T505" s="46">
        <f>IF(AND(Creditos!$C$14&lt;&gt;"",Creditos!$M$14="OK",20&lt;=Creditos!$H$14),IF(P505&gt;0.005,E505,999999),999999)</f>
        <v>999999</v>
      </c>
    </row>
    <row r="506" ht="25.5" customHeight="1">
      <c r="C506" s="46" t="str">
        <f>IF(AND(Creditos!$C$14&lt;&gt;"",Creditos!$M$14="OK",21&lt;=Creditos!$H$14),Creditos!$C$14,"")</f>
        <v/>
      </c>
      <c r="D506" s="46" t="str">
        <f>IF(AND(Creditos!$C$14&lt;&gt;"",Creditos!$M$14="OK",21&lt;=Creditos!$H$14),21,"")</f>
        <v/>
      </c>
      <c r="E506" s="47" t="str">
        <f>IF(AND(Creditos!$C$14&lt;&gt;"",Creditos!$M$14="OK",21&lt;=Creditos!$H$14),EDATE(Creditos!$I$14,20),"")</f>
        <v/>
      </c>
      <c r="F506" s="48" t="str">
        <f>IF(AND(Creditos!$C$14&lt;&gt;"",Creditos!$M$14="OK",21&lt;=Creditos!$H$14),M505,"")</f>
        <v/>
      </c>
      <c r="G506" s="49" t="str">
        <f>IF(AND(Creditos!$C$14&lt;&gt;"",Creditos!$M$14="OK",21&lt;=Creditos!$H$14),Creditos!$N$14,"")</f>
        <v/>
      </c>
      <c r="H506" s="48" t="str">
        <f>IF(AND(Creditos!$C$14&lt;&gt;"",Creditos!$M$14="OK",21&lt;=Creditos!$H$14),ROUND(F506*G506,2),"")</f>
        <v/>
      </c>
      <c r="I506" s="48" t="str">
        <f>IF(AND(Creditos!$C$14&lt;&gt;"",Creditos!$M$14="OK",21&lt;=Creditos!$H$14),IF(21=Creditos!$H$14,F506+H506,MIN(Creditos!$O$14,F506+H506)),"")</f>
        <v/>
      </c>
      <c r="J506" s="48" t="str">
        <f>IF(AND(Creditos!$C$14&lt;&gt;"",Creditos!$M$14="OK",21&lt;=Creditos!$H$14),MIN(F506,MAX(0,I506-H506)),"")</f>
        <v/>
      </c>
      <c r="K506" s="48" t="str">
        <f>IF(AND(Creditos!$C$14&lt;&gt;"",Creditos!$M$14="OK",21&lt;=Creditos!$H$14),Creditos!$J$14+Creditos!$K$14,"")</f>
        <v/>
      </c>
      <c r="L506" s="48" t="str">
        <f>IF(AND(Creditos!$C$14&lt;&gt;"",Creditos!$M$14="OK",21&lt;=Creditos!$H$14),I506+K506,"")</f>
        <v/>
      </c>
      <c r="M506" s="48" t="str">
        <f>IF(AND(Creditos!$C$14&lt;&gt;"",Creditos!$M$14="OK",21&lt;=Creditos!$H$14),MAX(0,F506-J506),"")</f>
        <v/>
      </c>
      <c r="N506" s="48" t="str">
        <f>IF(AND(Creditos!$C$14&lt;&gt;"",Creditos!$M$14="OK",21&lt;=Creditos!$H$14),SUMIFS(Pagos!$F$6:$F$305,Pagos!$C$6:$C$305,C506,Pagos!$D$6:$D$305,D506,Pagos!$E$6:$E$305,"&lt;="&amp;Supuestos!$D$6,Pagos!$H$6:$H$305,"OK"),"")</f>
        <v/>
      </c>
      <c r="O506" s="48" t="str">
        <f>IF(AND(Creditos!$C$14&lt;&gt;"",Creditos!$M$14="OK",21&lt;=Creditos!$H$14),MIN(J506,MAX(0,N506-K506-H506)),"")</f>
        <v/>
      </c>
      <c r="P506" s="48" t="str">
        <f>IF(AND(Creditos!$C$14&lt;&gt;"",Creditos!$M$14="OK",21&lt;=Creditos!$H$14),MAX(0,L506-N506),"")</f>
        <v/>
      </c>
      <c r="Q506" s="50" t="str">
        <f>IF(AND(Creditos!$C$14&lt;&gt;"",Creditos!$M$14="OK",21&lt;=Creditos!$H$14),IF(AND(E506&lt;Supuestos!$D$6,P506&gt;0.005),Supuestos!$D$6-E506,0),"")</f>
        <v/>
      </c>
      <c r="R506" s="48" t="str">
        <f>IF(AND(Creditos!$C$14&lt;&gt;"",Creditos!$M$14="OK",21&lt;=Creditos!$H$14),MAX(0,N506-L506),"")</f>
        <v/>
      </c>
      <c r="S506" s="46" t="str">
        <f>IF(AND(Creditos!$C$14&lt;&gt;"",Creditos!$M$14="OK",21&lt;=Creditos!$H$14),IF(R506&gt;0.005,"Exceso sin imputar",IF(P506&lt;=0.005,"Pagada",IF(E506&lt;Supuestos!$D$6,"Vencida",IF(E506=Supuestos!$D$6,"Vence hoy","Por vencer")))),"")</f>
        <v/>
      </c>
      <c r="T506" s="46">
        <f>IF(AND(Creditos!$C$14&lt;&gt;"",Creditos!$M$14="OK",21&lt;=Creditos!$H$14),IF(P506&gt;0.005,E506,999999),999999)</f>
        <v>999999</v>
      </c>
    </row>
    <row r="507" ht="25.5" customHeight="1">
      <c r="C507" s="46" t="str">
        <f>IF(AND(Creditos!$C$14&lt;&gt;"",Creditos!$M$14="OK",22&lt;=Creditos!$H$14),Creditos!$C$14,"")</f>
        <v/>
      </c>
      <c r="D507" s="46" t="str">
        <f>IF(AND(Creditos!$C$14&lt;&gt;"",Creditos!$M$14="OK",22&lt;=Creditos!$H$14),22,"")</f>
        <v/>
      </c>
      <c r="E507" s="47" t="str">
        <f>IF(AND(Creditos!$C$14&lt;&gt;"",Creditos!$M$14="OK",22&lt;=Creditos!$H$14),EDATE(Creditos!$I$14,21),"")</f>
        <v/>
      </c>
      <c r="F507" s="48" t="str">
        <f>IF(AND(Creditos!$C$14&lt;&gt;"",Creditos!$M$14="OK",22&lt;=Creditos!$H$14),M506,"")</f>
        <v/>
      </c>
      <c r="G507" s="49" t="str">
        <f>IF(AND(Creditos!$C$14&lt;&gt;"",Creditos!$M$14="OK",22&lt;=Creditos!$H$14),Creditos!$N$14,"")</f>
        <v/>
      </c>
      <c r="H507" s="48" t="str">
        <f>IF(AND(Creditos!$C$14&lt;&gt;"",Creditos!$M$14="OK",22&lt;=Creditos!$H$14),ROUND(F507*G507,2),"")</f>
        <v/>
      </c>
      <c r="I507" s="48" t="str">
        <f>IF(AND(Creditos!$C$14&lt;&gt;"",Creditos!$M$14="OK",22&lt;=Creditos!$H$14),IF(22=Creditos!$H$14,F507+H507,MIN(Creditos!$O$14,F507+H507)),"")</f>
        <v/>
      </c>
      <c r="J507" s="48" t="str">
        <f>IF(AND(Creditos!$C$14&lt;&gt;"",Creditos!$M$14="OK",22&lt;=Creditos!$H$14),MIN(F507,MAX(0,I507-H507)),"")</f>
        <v/>
      </c>
      <c r="K507" s="48" t="str">
        <f>IF(AND(Creditos!$C$14&lt;&gt;"",Creditos!$M$14="OK",22&lt;=Creditos!$H$14),Creditos!$J$14+Creditos!$K$14,"")</f>
        <v/>
      </c>
      <c r="L507" s="48" t="str">
        <f>IF(AND(Creditos!$C$14&lt;&gt;"",Creditos!$M$14="OK",22&lt;=Creditos!$H$14),I507+K507,"")</f>
        <v/>
      </c>
      <c r="M507" s="48" t="str">
        <f>IF(AND(Creditos!$C$14&lt;&gt;"",Creditos!$M$14="OK",22&lt;=Creditos!$H$14),MAX(0,F507-J507),"")</f>
        <v/>
      </c>
      <c r="N507" s="48" t="str">
        <f>IF(AND(Creditos!$C$14&lt;&gt;"",Creditos!$M$14="OK",22&lt;=Creditos!$H$14),SUMIFS(Pagos!$F$6:$F$305,Pagos!$C$6:$C$305,C507,Pagos!$D$6:$D$305,D507,Pagos!$E$6:$E$305,"&lt;="&amp;Supuestos!$D$6,Pagos!$H$6:$H$305,"OK"),"")</f>
        <v/>
      </c>
      <c r="O507" s="48" t="str">
        <f>IF(AND(Creditos!$C$14&lt;&gt;"",Creditos!$M$14="OK",22&lt;=Creditos!$H$14),MIN(J507,MAX(0,N507-K507-H507)),"")</f>
        <v/>
      </c>
      <c r="P507" s="48" t="str">
        <f>IF(AND(Creditos!$C$14&lt;&gt;"",Creditos!$M$14="OK",22&lt;=Creditos!$H$14),MAX(0,L507-N507),"")</f>
        <v/>
      </c>
      <c r="Q507" s="50" t="str">
        <f>IF(AND(Creditos!$C$14&lt;&gt;"",Creditos!$M$14="OK",22&lt;=Creditos!$H$14),IF(AND(E507&lt;Supuestos!$D$6,P507&gt;0.005),Supuestos!$D$6-E507,0),"")</f>
        <v/>
      </c>
      <c r="R507" s="48" t="str">
        <f>IF(AND(Creditos!$C$14&lt;&gt;"",Creditos!$M$14="OK",22&lt;=Creditos!$H$14),MAX(0,N507-L507),"")</f>
        <v/>
      </c>
      <c r="S507" s="46" t="str">
        <f>IF(AND(Creditos!$C$14&lt;&gt;"",Creditos!$M$14="OK",22&lt;=Creditos!$H$14),IF(R507&gt;0.005,"Exceso sin imputar",IF(P507&lt;=0.005,"Pagada",IF(E507&lt;Supuestos!$D$6,"Vencida",IF(E507=Supuestos!$D$6,"Vence hoy","Por vencer")))),"")</f>
        <v/>
      </c>
      <c r="T507" s="46">
        <f>IF(AND(Creditos!$C$14&lt;&gt;"",Creditos!$M$14="OK",22&lt;=Creditos!$H$14),IF(P507&gt;0.005,E507,999999),999999)</f>
        <v>999999</v>
      </c>
    </row>
    <row r="508" ht="25.5" customHeight="1">
      <c r="C508" s="46" t="str">
        <f>IF(AND(Creditos!$C$14&lt;&gt;"",Creditos!$M$14="OK",23&lt;=Creditos!$H$14),Creditos!$C$14,"")</f>
        <v/>
      </c>
      <c r="D508" s="46" t="str">
        <f>IF(AND(Creditos!$C$14&lt;&gt;"",Creditos!$M$14="OK",23&lt;=Creditos!$H$14),23,"")</f>
        <v/>
      </c>
      <c r="E508" s="47" t="str">
        <f>IF(AND(Creditos!$C$14&lt;&gt;"",Creditos!$M$14="OK",23&lt;=Creditos!$H$14),EDATE(Creditos!$I$14,22),"")</f>
        <v/>
      </c>
      <c r="F508" s="48" t="str">
        <f>IF(AND(Creditos!$C$14&lt;&gt;"",Creditos!$M$14="OK",23&lt;=Creditos!$H$14),M507,"")</f>
        <v/>
      </c>
      <c r="G508" s="49" t="str">
        <f>IF(AND(Creditos!$C$14&lt;&gt;"",Creditos!$M$14="OK",23&lt;=Creditos!$H$14),Creditos!$N$14,"")</f>
        <v/>
      </c>
      <c r="H508" s="48" t="str">
        <f>IF(AND(Creditos!$C$14&lt;&gt;"",Creditos!$M$14="OK",23&lt;=Creditos!$H$14),ROUND(F508*G508,2),"")</f>
        <v/>
      </c>
      <c r="I508" s="48" t="str">
        <f>IF(AND(Creditos!$C$14&lt;&gt;"",Creditos!$M$14="OK",23&lt;=Creditos!$H$14),IF(23=Creditos!$H$14,F508+H508,MIN(Creditos!$O$14,F508+H508)),"")</f>
        <v/>
      </c>
      <c r="J508" s="48" t="str">
        <f>IF(AND(Creditos!$C$14&lt;&gt;"",Creditos!$M$14="OK",23&lt;=Creditos!$H$14),MIN(F508,MAX(0,I508-H508)),"")</f>
        <v/>
      </c>
      <c r="K508" s="48" t="str">
        <f>IF(AND(Creditos!$C$14&lt;&gt;"",Creditos!$M$14="OK",23&lt;=Creditos!$H$14),Creditos!$J$14+Creditos!$K$14,"")</f>
        <v/>
      </c>
      <c r="L508" s="48" t="str">
        <f>IF(AND(Creditos!$C$14&lt;&gt;"",Creditos!$M$14="OK",23&lt;=Creditos!$H$14),I508+K508,"")</f>
        <v/>
      </c>
      <c r="M508" s="48" t="str">
        <f>IF(AND(Creditos!$C$14&lt;&gt;"",Creditos!$M$14="OK",23&lt;=Creditos!$H$14),MAX(0,F508-J508),"")</f>
        <v/>
      </c>
      <c r="N508" s="48" t="str">
        <f>IF(AND(Creditos!$C$14&lt;&gt;"",Creditos!$M$14="OK",23&lt;=Creditos!$H$14),SUMIFS(Pagos!$F$6:$F$305,Pagos!$C$6:$C$305,C508,Pagos!$D$6:$D$305,D508,Pagos!$E$6:$E$305,"&lt;="&amp;Supuestos!$D$6,Pagos!$H$6:$H$305,"OK"),"")</f>
        <v/>
      </c>
      <c r="O508" s="48" t="str">
        <f>IF(AND(Creditos!$C$14&lt;&gt;"",Creditos!$M$14="OK",23&lt;=Creditos!$H$14),MIN(J508,MAX(0,N508-K508-H508)),"")</f>
        <v/>
      </c>
      <c r="P508" s="48" t="str">
        <f>IF(AND(Creditos!$C$14&lt;&gt;"",Creditos!$M$14="OK",23&lt;=Creditos!$H$14),MAX(0,L508-N508),"")</f>
        <v/>
      </c>
      <c r="Q508" s="50" t="str">
        <f>IF(AND(Creditos!$C$14&lt;&gt;"",Creditos!$M$14="OK",23&lt;=Creditos!$H$14),IF(AND(E508&lt;Supuestos!$D$6,P508&gt;0.005),Supuestos!$D$6-E508,0),"")</f>
        <v/>
      </c>
      <c r="R508" s="48" t="str">
        <f>IF(AND(Creditos!$C$14&lt;&gt;"",Creditos!$M$14="OK",23&lt;=Creditos!$H$14),MAX(0,N508-L508),"")</f>
        <v/>
      </c>
      <c r="S508" s="46" t="str">
        <f>IF(AND(Creditos!$C$14&lt;&gt;"",Creditos!$M$14="OK",23&lt;=Creditos!$H$14),IF(R508&gt;0.005,"Exceso sin imputar",IF(P508&lt;=0.005,"Pagada",IF(E508&lt;Supuestos!$D$6,"Vencida",IF(E508=Supuestos!$D$6,"Vence hoy","Por vencer")))),"")</f>
        <v/>
      </c>
      <c r="T508" s="46">
        <f>IF(AND(Creditos!$C$14&lt;&gt;"",Creditos!$M$14="OK",23&lt;=Creditos!$H$14),IF(P508&gt;0.005,E508,999999),999999)</f>
        <v>999999</v>
      </c>
    </row>
    <row r="509" ht="25.5" customHeight="1">
      <c r="C509" s="46" t="str">
        <f>IF(AND(Creditos!$C$14&lt;&gt;"",Creditos!$M$14="OK",24&lt;=Creditos!$H$14),Creditos!$C$14,"")</f>
        <v/>
      </c>
      <c r="D509" s="46" t="str">
        <f>IF(AND(Creditos!$C$14&lt;&gt;"",Creditos!$M$14="OK",24&lt;=Creditos!$H$14),24,"")</f>
        <v/>
      </c>
      <c r="E509" s="47" t="str">
        <f>IF(AND(Creditos!$C$14&lt;&gt;"",Creditos!$M$14="OK",24&lt;=Creditos!$H$14),EDATE(Creditos!$I$14,23),"")</f>
        <v/>
      </c>
      <c r="F509" s="48" t="str">
        <f>IF(AND(Creditos!$C$14&lt;&gt;"",Creditos!$M$14="OK",24&lt;=Creditos!$H$14),M508,"")</f>
        <v/>
      </c>
      <c r="G509" s="49" t="str">
        <f>IF(AND(Creditos!$C$14&lt;&gt;"",Creditos!$M$14="OK",24&lt;=Creditos!$H$14),Creditos!$N$14,"")</f>
        <v/>
      </c>
      <c r="H509" s="48" t="str">
        <f>IF(AND(Creditos!$C$14&lt;&gt;"",Creditos!$M$14="OK",24&lt;=Creditos!$H$14),ROUND(F509*G509,2),"")</f>
        <v/>
      </c>
      <c r="I509" s="48" t="str">
        <f>IF(AND(Creditos!$C$14&lt;&gt;"",Creditos!$M$14="OK",24&lt;=Creditos!$H$14),IF(24=Creditos!$H$14,F509+H509,MIN(Creditos!$O$14,F509+H509)),"")</f>
        <v/>
      </c>
      <c r="J509" s="48" t="str">
        <f>IF(AND(Creditos!$C$14&lt;&gt;"",Creditos!$M$14="OK",24&lt;=Creditos!$H$14),MIN(F509,MAX(0,I509-H509)),"")</f>
        <v/>
      </c>
      <c r="K509" s="48" t="str">
        <f>IF(AND(Creditos!$C$14&lt;&gt;"",Creditos!$M$14="OK",24&lt;=Creditos!$H$14),Creditos!$J$14+Creditos!$K$14,"")</f>
        <v/>
      </c>
      <c r="L509" s="48" t="str">
        <f>IF(AND(Creditos!$C$14&lt;&gt;"",Creditos!$M$14="OK",24&lt;=Creditos!$H$14),I509+K509,"")</f>
        <v/>
      </c>
      <c r="M509" s="48" t="str">
        <f>IF(AND(Creditos!$C$14&lt;&gt;"",Creditos!$M$14="OK",24&lt;=Creditos!$H$14),MAX(0,F509-J509),"")</f>
        <v/>
      </c>
      <c r="N509" s="48" t="str">
        <f>IF(AND(Creditos!$C$14&lt;&gt;"",Creditos!$M$14="OK",24&lt;=Creditos!$H$14),SUMIFS(Pagos!$F$6:$F$305,Pagos!$C$6:$C$305,C509,Pagos!$D$6:$D$305,D509,Pagos!$E$6:$E$305,"&lt;="&amp;Supuestos!$D$6,Pagos!$H$6:$H$305,"OK"),"")</f>
        <v/>
      </c>
      <c r="O509" s="48" t="str">
        <f>IF(AND(Creditos!$C$14&lt;&gt;"",Creditos!$M$14="OK",24&lt;=Creditos!$H$14),MIN(J509,MAX(0,N509-K509-H509)),"")</f>
        <v/>
      </c>
      <c r="P509" s="48" t="str">
        <f>IF(AND(Creditos!$C$14&lt;&gt;"",Creditos!$M$14="OK",24&lt;=Creditos!$H$14),MAX(0,L509-N509),"")</f>
        <v/>
      </c>
      <c r="Q509" s="50" t="str">
        <f>IF(AND(Creditos!$C$14&lt;&gt;"",Creditos!$M$14="OK",24&lt;=Creditos!$H$14),IF(AND(E509&lt;Supuestos!$D$6,P509&gt;0.005),Supuestos!$D$6-E509,0),"")</f>
        <v/>
      </c>
      <c r="R509" s="48" t="str">
        <f>IF(AND(Creditos!$C$14&lt;&gt;"",Creditos!$M$14="OK",24&lt;=Creditos!$H$14),MAX(0,N509-L509),"")</f>
        <v/>
      </c>
      <c r="S509" s="46" t="str">
        <f>IF(AND(Creditos!$C$14&lt;&gt;"",Creditos!$M$14="OK",24&lt;=Creditos!$H$14),IF(R509&gt;0.005,"Exceso sin imputar",IF(P509&lt;=0.005,"Pagada",IF(E509&lt;Supuestos!$D$6,"Vencida",IF(E509=Supuestos!$D$6,"Vence hoy","Por vencer")))),"")</f>
        <v/>
      </c>
      <c r="T509" s="46">
        <f>IF(AND(Creditos!$C$14&lt;&gt;"",Creditos!$M$14="OK",24&lt;=Creditos!$H$14),IF(P509&gt;0.005,E509,999999),999999)</f>
        <v>999999</v>
      </c>
    </row>
    <row r="510" ht="25.5" customHeight="1">
      <c r="C510" s="46" t="str">
        <f>IF(AND(Creditos!$C$14&lt;&gt;"",Creditos!$M$14="OK",25&lt;=Creditos!$H$14),Creditos!$C$14,"")</f>
        <v/>
      </c>
      <c r="D510" s="46" t="str">
        <f>IF(AND(Creditos!$C$14&lt;&gt;"",Creditos!$M$14="OK",25&lt;=Creditos!$H$14),25,"")</f>
        <v/>
      </c>
      <c r="E510" s="47" t="str">
        <f>IF(AND(Creditos!$C$14&lt;&gt;"",Creditos!$M$14="OK",25&lt;=Creditos!$H$14),EDATE(Creditos!$I$14,24),"")</f>
        <v/>
      </c>
      <c r="F510" s="48" t="str">
        <f>IF(AND(Creditos!$C$14&lt;&gt;"",Creditos!$M$14="OK",25&lt;=Creditos!$H$14),M509,"")</f>
        <v/>
      </c>
      <c r="G510" s="49" t="str">
        <f>IF(AND(Creditos!$C$14&lt;&gt;"",Creditos!$M$14="OK",25&lt;=Creditos!$H$14),Creditos!$N$14,"")</f>
        <v/>
      </c>
      <c r="H510" s="48" t="str">
        <f>IF(AND(Creditos!$C$14&lt;&gt;"",Creditos!$M$14="OK",25&lt;=Creditos!$H$14),ROUND(F510*G510,2),"")</f>
        <v/>
      </c>
      <c r="I510" s="48" t="str">
        <f>IF(AND(Creditos!$C$14&lt;&gt;"",Creditos!$M$14="OK",25&lt;=Creditos!$H$14),IF(25=Creditos!$H$14,F510+H510,MIN(Creditos!$O$14,F510+H510)),"")</f>
        <v/>
      </c>
      <c r="J510" s="48" t="str">
        <f>IF(AND(Creditos!$C$14&lt;&gt;"",Creditos!$M$14="OK",25&lt;=Creditos!$H$14),MIN(F510,MAX(0,I510-H510)),"")</f>
        <v/>
      </c>
      <c r="K510" s="48" t="str">
        <f>IF(AND(Creditos!$C$14&lt;&gt;"",Creditos!$M$14="OK",25&lt;=Creditos!$H$14),Creditos!$J$14+Creditos!$K$14,"")</f>
        <v/>
      </c>
      <c r="L510" s="48" t="str">
        <f>IF(AND(Creditos!$C$14&lt;&gt;"",Creditos!$M$14="OK",25&lt;=Creditos!$H$14),I510+K510,"")</f>
        <v/>
      </c>
      <c r="M510" s="48" t="str">
        <f>IF(AND(Creditos!$C$14&lt;&gt;"",Creditos!$M$14="OK",25&lt;=Creditos!$H$14),MAX(0,F510-J510),"")</f>
        <v/>
      </c>
      <c r="N510" s="48" t="str">
        <f>IF(AND(Creditos!$C$14&lt;&gt;"",Creditos!$M$14="OK",25&lt;=Creditos!$H$14),SUMIFS(Pagos!$F$6:$F$305,Pagos!$C$6:$C$305,C510,Pagos!$D$6:$D$305,D510,Pagos!$E$6:$E$305,"&lt;="&amp;Supuestos!$D$6,Pagos!$H$6:$H$305,"OK"),"")</f>
        <v/>
      </c>
      <c r="O510" s="48" t="str">
        <f>IF(AND(Creditos!$C$14&lt;&gt;"",Creditos!$M$14="OK",25&lt;=Creditos!$H$14),MIN(J510,MAX(0,N510-K510-H510)),"")</f>
        <v/>
      </c>
      <c r="P510" s="48" t="str">
        <f>IF(AND(Creditos!$C$14&lt;&gt;"",Creditos!$M$14="OK",25&lt;=Creditos!$H$14),MAX(0,L510-N510),"")</f>
        <v/>
      </c>
      <c r="Q510" s="50" t="str">
        <f>IF(AND(Creditos!$C$14&lt;&gt;"",Creditos!$M$14="OK",25&lt;=Creditos!$H$14),IF(AND(E510&lt;Supuestos!$D$6,P510&gt;0.005),Supuestos!$D$6-E510,0),"")</f>
        <v/>
      </c>
      <c r="R510" s="48" t="str">
        <f>IF(AND(Creditos!$C$14&lt;&gt;"",Creditos!$M$14="OK",25&lt;=Creditos!$H$14),MAX(0,N510-L510),"")</f>
        <v/>
      </c>
      <c r="S510" s="46" t="str">
        <f>IF(AND(Creditos!$C$14&lt;&gt;"",Creditos!$M$14="OK",25&lt;=Creditos!$H$14),IF(R510&gt;0.005,"Exceso sin imputar",IF(P510&lt;=0.005,"Pagada",IF(E510&lt;Supuestos!$D$6,"Vencida",IF(E510=Supuestos!$D$6,"Vence hoy","Por vencer")))),"")</f>
        <v/>
      </c>
      <c r="T510" s="46">
        <f>IF(AND(Creditos!$C$14&lt;&gt;"",Creditos!$M$14="OK",25&lt;=Creditos!$H$14),IF(P510&gt;0.005,E510,999999),999999)</f>
        <v>999999</v>
      </c>
    </row>
    <row r="511" ht="25.5" customHeight="1">
      <c r="C511" s="46" t="str">
        <f>IF(AND(Creditos!$C$14&lt;&gt;"",Creditos!$M$14="OK",26&lt;=Creditos!$H$14),Creditos!$C$14,"")</f>
        <v/>
      </c>
      <c r="D511" s="46" t="str">
        <f>IF(AND(Creditos!$C$14&lt;&gt;"",Creditos!$M$14="OK",26&lt;=Creditos!$H$14),26,"")</f>
        <v/>
      </c>
      <c r="E511" s="47" t="str">
        <f>IF(AND(Creditos!$C$14&lt;&gt;"",Creditos!$M$14="OK",26&lt;=Creditos!$H$14),EDATE(Creditos!$I$14,25),"")</f>
        <v/>
      </c>
      <c r="F511" s="48" t="str">
        <f>IF(AND(Creditos!$C$14&lt;&gt;"",Creditos!$M$14="OK",26&lt;=Creditos!$H$14),M510,"")</f>
        <v/>
      </c>
      <c r="G511" s="49" t="str">
        <f>IF(AND(Creditos!$C$14&lt;&gt;"",Creditos!$M$14="OK",26&lt;=Creditos!$H$14),Creditos!$N$14,"")</f>
        <v/>
      </c>
      <c r="H511" s="48" t="str">
        <f>IF(AND(Creditos!$C$14&lt;&gt;"",Creditos!$M$14="OK",26&lt;=Creditos!$H$14),ROUND(F511*G511,2),"")</f>
        <v/>
      </c>
      <c r="I511" s="48" t="str">
        <f>IF(AND(Creditos!$C$14&lt;&gt;"",Creditos!$M$14="OK",26&lt;=Creditos!$H$14),IF(26=Creditos!$H$14,F511+H511,MIN(Creditos!$O$14,F511+H511)),"")</f>
        <v/>
      </c>
      <c r="J511" s="48" t="str">
        <f>IF(AND(Creditos!$C$14&lt;&gt;"",Creditos!$M$14="OK",26&lt;=Creditos!$H$14),MIN(F511,MAX(0,I511-H511)),"")</f>
        <v/>
      </c>
      <c r="K511" s="48" t="str">
        <f>IF(AND(Creditos!$C$14&lt;&gt;"",Creditos!$M$14="OK",26&lt;=Creditos!$H$14),Creditos!$J$14+Creditos!$K$14,"")</f>
        <v/>
      </c>
      <c r="L511" s="48" t="str">
        <f>IF(AND(Creditos!$C$14&lt;&gt;"",Creditos!$M$14="OK",26&lt;=Creditos!$H$14),I511+K511,"")</f>
        <v/>
      </c>
      <c r="M511" s="48" t="str">
        <f>IF(AND(Creditos!$C$14&lt;&gt;"",Creditos!$M$14="OK",26&lt;=Creditos!$H$14),MAX(0,F511-J511),"")</f>
        <v/>
      </c>
      <c r="N511" s="48" t="str">
        <f>IF(AND(Creditos!$C$14&lt;&gt;"",Creditos!$M$14="OK",26&lt;=Creditos!$H$14),SUMIFS(Pagos!$F$6:$F$305,Pagos!$C$6:$C$305,C511,Pagos!$D$6:$D$305,D511,Pagos!$E$6:$E$305,"&lt;="&amp;Supuestos!$D$6,Pagos!$H$6:$H$305,"OK"),"")</f>
        <v/>
      </c>
      <c r="O511" s="48" t="str">
        <f>IF(AND(Creditos!$C$14&lt;&gt;"",Creditos!$M$14="OK",26&lt;=Creditos!$H$14),MIN(J511,MAX(0,N511-K511-H511)),"")</f>
        <v/>
      </c>
      <c r="P511" s="48" t="str">
        <f>IF(AND(Creditos!$C$14&lt;&gt;"",Creditos!$M$14="OK",26&lt;=Creditos!$H$14),MAX(0,L511-N511),"")</f>
        <v/>
      </c>
      <c r="Q511" s="50" t="str">
        <f>IF(AND(Creditos!$C$14&lt;&gt;"",Creditos!$M$14="OK",26&lt;=Creditos!$H$14),IF(AND(E511&lt;Supuestos!$D$6,P511&gt;0.005),Supuestos!$D$6-E511,0),"")</f>
        <v/>
      </c>
      <c r="R511" s="48" t="str">
        <f>IF(AND(Creditos!$C$14&lt;&gt;"",Creditos!$M$14="OK",26&lt;=Creditos!$H$14),MAX(0,N511-L511),"")</f>
        <v/>
      </c>
      <c r="S511" s="46" t="str">
        <f>IF(AND(Creditos!$C$14&lt;&gt;"",Creditos!$M$14="OK",26&lt;=Creditos!$H$14),IF(R511&gt;0.005,"Exceso sin imputar",IF(P511&lt;=0.005,"Pagada",IF(E511&lt;Supuestos!$D$6,"Vencida",IF(E511=Supuestos!$D$6,"Vence hoy","Por vencer")))),"")</f>
        <v/>
      </c>
      <c r="T511" s="46">
        <f>IF(AND(Creditos!$C$14&lt;&gt;"",Creditos!$M$14="OK",26&lt;=Creditos!$H$14),IF(P511&gt;0.005,E511,999999),999999)</f>
        <v>999999</v>
      </c>
    </row>
    <row r="512" ht="25.5" customHeight="1">
      <c r="C512" s="46" t="str">
        <f>IF(AND(Creditos!$C$14&lt;&gt;"",Creditos!$M$14="OK",27&lt;=Creditos!$H$14),Creditos!$C$14,"")</f>
        <v/>
      </c>
      <c r="D512" s="46" t="str">
        <f>IF(AND(Creditos!$C$14&lt;&gt;"",Creditos!$M$14="OK",27&lt;=Creditos!$H$14),27,"")</f>
        <v/>
      </c>
      <c r="E512" s="47" t="str">
        <f>IF(AND(Creditos!$C$14&lt;&gt;"",Creditos!$M$14="OK",27&lt;=Creditos!$H$14),EDATE(Creditos!$I$14,26),"")</f>
        <v/>
      </c>
      <c r="F512" s="48" t="str">
        <f>IF(AND(Creditos!$C$14&lt;&gt;"",Creditos!$M$14="OK",27&lt;=Creditos!$H$14),M511,"")</f>
        <v/>
      </c>
      <c r="G512" s="49" t="str">
        <f>IF(AND(Creditos!$C$14&lt;&gt;"",Creditos!$M$14="OK",27&lt;=Creditos!$H$14),Creditos!$N$14,"")</f>
        <v/>
      </c>
      <c r="H512" s="48" t="str">
        <f>IF(AND(Creditos!$C$14&lt;&gt;"",Creditos!$M$14="OK",27&lt;=Creditos!$H$14),ROUND(F512*G512,2),"")</f>
        <v/>
      </c>
      <c r="I512" s="48" t="str">
        <f>IF(AND(Creditos!$C$14&lt;&gt;"",Creditos!$M$14="OK",27&lt;=Creditos!$H$14),IF(27=Creditos!$H$14,F512+H512,MIN(Creditos!$O$14,F512+H512)),"")</f>
        <v/>
      </c>
      <c r="J512" s="48" t="str">
        <f>IF(AND(Creditos!$C$14&lt;&gt;"",Creditos!$M$14="OK",27&lt;=Creditos!$H$14),MIN(F512,MAX(0,I512-H512)),"")</f>
        <v/>
      </c>
      <c r="K512" s="48" t="str">
        <f>IF(AND(Creditos!$C$14&lt;&gt;"",Creditos!$M$14="OK",27&lt;=Creditos!$H$14),Creditos!$J$14+Creditos!$K$14,"")</f>
        <v/>
      </c>
      <c r="L512" s="48" t="str">
        <f>IF(AND(Creditos!$C$14&lt;&gt;"",Creditos!$M$14="OK",27&lt;=Creditos!$H$14),I512+K512,"")</f>
        <v/>
      </c>
      <c r="M512" s="48" t="str">
        <f>IF(AND(Creditos!$C$14&lt;&gt;"",Creditos!$M$14="OK",27&lt;=Creditos!$H$14),MAX(0,F512-J512),"")</f>
        <v/>
      </c>
      <c r="N512" s="48" t="str">
        <f>IF(AND(Creditos!$C$14&lt;&gt;"",Creditos!$M$14="OK",27&lt;=Creditos!$H$14),SUMIFS(Pagos!$F$6:$F$305,Pagos!$C$6:$C$305,C512,Pagos!$D$6:$D$305,D512,Pagos!$E$6:$E$305,"&lt;="&amp;Supuestos!$D$6,Pagos!$H$6:$H$305,"OK"),"")</f>
        <v/>
      </c>
      <c r="O512" s="48" t="str">
        <f>IF(AND(Creditos!$C$14&lt;&gt;"",Creditos!$M$14="OK",27&lt;=Creditos!$H$14),MIN(J512,MAX(0,N512-K512-H512)),"")</f>
        <v/>
      </c>
      <c r="P512" s="48" t="str">
        <f>IF(AND(Creditos!$C$14&lt;&gt;"",Creditos!$M$14="OK",27&lt;=Creditos!$H$14),MAX(0,L512-N512),"")</f>
        <v/>
      </c>
      <c r="Q512" s="50" t="str">
        <f>IF(AND(Creditos!$C$14&lt;&gt;"",Creditos!$M$14="OK",27&lt;=Creditos!$H$14),IF(AND(E512&lt;Supuestos!$D$6,P512&gt;0.005),Supuestos!$D$6-E512,0),"")</f>
        <v/>
      </c>
      <c r="R512" s="48" t="str">
        <f>IF(AND(Creditos!$C$14&lt;&gt;"",Creditos!$M$14="OK",27&lt;=Creditos!$H$14),MAX(0,N512-L512),"")</f>
        <v/>
      </c>
      <c r="S512" s="46" t="str">
        <f>IF(AND(Creditos!$C$14&lt;&gt;"",Creditos!$M$14="OK",27&lt;=Creditos!$H$14),IF(R512&gt;0.005,"Exceso sin imputar",IF(P512&lt;=0.005,"Pagada",IF(E512&lt;Supuestos!$D$6,"Vencida",IF(E512=Supuestos!$D$6,"Vence hoy","Por vencer")))),"")</f>
        <v/>
      </c>
      <c r="T512" s="46">
        <f>IF(AND(Creditos!$C$14&lt;&gt;"",Creditos!$M$14="OK",27&lt;=Creditos!$H$14),IF(P512&gt;0.005,E512,999999),999999)</f>
        <v>999999</v>
      </c>
    </row>
    <row r="513" ht="25.5" customHeight="1">
      <c r="C513" s="46" t="str">
        <f>IF(AND(Creditos!$C$14&lt;&gt;"",Creditos!$M$14="OK",28&lt;=Creditos!$H$14),Creditos!$C$14,"")</f>
        <v/>
      </c>
      <c r="D513" s="46" t="str">
        <f>IF(AND(Creditos!$C$14&lt;&gt;"",Creditos!$M$14="OK",28&lt;=Creditos!$H$14),28,"")</f>
        <v/>
      </c>
      <c r="E513" s="47" t="str">
        <f>IF(AND(Creditos!$C$14&lt;&gt;"",Creditos!$M$14="OK",28&lt;=Creditos!$H$14),EDATE(Creditos!$I$14,27),"")</f>
        <v/>
      </c>
      <c r="F513" s="48" t="str">
        <f>IF(AND(Creditos!$C$14&lt;&gt;"",Creditos!$M$14="OK",28&lt;=Creditos!$H$14),M512,"")</f>
        <v/>
      </c>
      <c r="G513" s="49" t="str">
        <f>IF(AND(Creditos!$C$14&lt;&gt;"",Creditos!$M$14="OK",28&lt;=Creditos!$H$14),Creditos!$N$14,"")</f>
        <v/>
      </c>
      <c r="H513" s="48" t="str">
        <f>IF(AND(Creditos!$C$14&lt;&gt;"",Creditos!$M$14="OK",28&lt;=Creditos!$H$14),ROUND(F513*G513,2),"")</f>
        <v/>
      </c>
      <c r="I513" s="48" t="str">
        <f>IF(AND(Creditos!$C$14&lt;&gt;"",Creditos!$M$14="OK",28&lt;=Creditos!$H$14),IF(28=Creditos!$H$14,F513+H513,MIN(Creditos!$O$14,F513+H513)),"")</f>
        <v/>
      </c>
      <c r="J513" s="48" t="str">
        <f>IF(AND(Creditos!$C$14&lt;&gt;"",Creditos!$M$14="OK",28&lt;=Creditos!$H$14),MIN(F513,MAX(0,I513-H513)),"")</f>
        <v/>
      </c>
      <c r="K513" s="48" t="str">
        <f>IF(AND(Creditos!$C$14&lt;&gt;"",Creditos!$M$14="OK",28&lt;=Creditos!$H$14),Creditos!$J$14+Creditos!$K$14,"")</f>
        <v/>
      </c>
      <c r="L513" s="48" t="str">
        <f>IF(AND(Creditos!$C$14&lt;&gt;"",Creditos!$M$14="OK",28&lt;=Creditos!$H$14),I513+K513,"")</f>
        <v/>
      </c>
      <c r="M513" s="48" t="str">
        <f>IF(AND(Creditos!$C$14&lt;&gt;"",Creditos!$M$14="OK",28&lt;=Creditos!$H$14),MAX(0,F513-J513),"")</f>
        <v/>
      </c>
      <c r="N513" s="48" t="str">
        <f>IF(AND(Creditos!$C$14&lt;&gt;"",Creditos!$M$14="OK",28&lt;=Creditos!$H$14),SUMIFS(Pagos!$F$6:$F$305,Pagos!$C$6:$C$305,C513,Pagos!$D$6:$D$305,D513,Pagos!$E$6:$E$305,"&lt;="&amp;Supuestos!$D$6,Pagos!$H$6:$H$305,"OK"),"")</f>
        <v/>
      </c>
      <c r="O513" s="48" t="str">
        <f>IF(AND(Creditos!$C$14&lt;&gt;"",Creditos!$M$14="OK",28&lt;=Creditos!$H$14),MIN(J513,MAX(0,N513-K513-H513)),"")</f>
        <v/>
      </c>
      <c r="P513" s="48" t="str">
        <f>IF(AND(Creditos!$C$14&lt;&gt;"",Creditos!$M$14="OK",28&lt;=Creditos!$H$14),MAX(0,L513-N513),"")</f>
        <v/>
      </c>
      <c r="Q513" s="50" t="str">
        <f>IF(AND(Creditos!$C$14&lt;&gt;"",Creditos!$M$14="OK",28&lt;=Creditos!$H$14),IF(AND(E513&lt;Supuestos!$D$6,P513&gt;0.005),Supuestos!$D$6-E513,0),"")</f>
        <v/>
      </c>
      <c r="R513" s="48" t="str">
        <f>IF(AND(Creditos!$C$14&lt;&gt;"",Creditos!$M$14="OK",28&lt;=Creditos!$H$14),MAX(0,N513-L513),"")</f>
        <v/>
      </c>
      <c r="S513" s="46" t="str">
        <f>IF(AND(Creditos!$C$14&lt;&gt;"",Creditos!$M$14="OK",28&lt;=Creditos!$H$14),IF(R513&gt;0.005,"Exceso sin imputar",IF(P513&lt;=0.005,"Pagada",IF(E513&lt;Supuestos!$D$6,"Vencida",IF(E513=Supuestos!$D$6,"Vence hoy","Por vencer")))),"")</f>
        <v/>
      </c>
      <c r="T513" s="46">
        <f>IF(AND(Creditos!$C$14&lt;&gt;"",Creditos!$M$14="OK",28&lt;=Creditos!$H$14),IF(P513&gt;0.005,E513,999999),999999)</f>
        <v>999999</v>
      </c>
    </row>
    <row r="514" ht="25.5" customHeight="1">
      <c r="C514" s="46" t="str">
        <f>IF(AND(Creditos!$C$14&lt;&gt;"",Creditos!$M$14="OK",29&lt;=Creditos!$H$14),Creditos!$C$14,"")</f>
        <v/>
      </c>
      <c r="D514" s="46" t="str">
        <f>IF(AND(Creditos!$C$14&lt;&gt;"",Creditos!$M$14="OK",29&lt;=Creditos!$H$14),29,"")</f>
        <v/>
      </c>
      <c r="E514" s="47" t="str">
        <f>IF(AND(Creditos!$C$14&lt;&gt;"",Creditos!$M$14="OK",29&lt;=Creditos!$H$14),EDATE(Creditos!$I$14,28),"")</f>
        <v/>
      </c>
      <c r="F514" s="48" t="str">
        <f>IF(AND(Creditos!$C$14&lt;&gt;"",Creditos!$M$14="OK",29&lt;=Creditos!$H$14),M513,"")</f>
        <v/>
      </c>
      <c r="G514" s="49" t="str">
        <f>IF(AND(Creditos!$C$14&lt;&gt;"",Creditos!$M$14="OK",29&lt;=Creditos!$H$14),Creditos!$N$14,"")</f>
        <v/>
      </c>
      <c r="H514" s="48" t="str">
        <f>IF(AND(Creditos!$C$14&lt;&gt;"",Creditos!$M$14="OK",29&lt;=Creditos!$H$14),ROUND(F514*G514,2),"")</f>
        <v/>
      </c>
      <c r="I514" s="48" t="str">
        <f>IF(AND(Creditos!$C$14&lt;&gt;"",Creditos!$M$14="OK",29&lt;=Creditos!$H$14),IF(29=Creditos!$H$14,F514+H514,MIN(Creditos!$O$14,F514+H514)),"")</f>
        <v/>
      </c>
      <c r="J514" s="48" t="str">
        <f>IF(AND(Creditos!$C$14&lt;&gt;"",Creditos!$M$14="OK",29&lt;=Creditos!$H$14),MIN(F514,MAX(0,I514-H514)),"")</f>
        <v/>
      </c>
      <c r="K514" s="48" t="str">
        <f>IF(AND(Creditos!$C$14&lt;&gt;"",Creditos!$M$14="OK",29&lt;=Creditos!$H$14),Creditos!$J$14+Creditos!$K$14,"")</f>
        <v/>
      </c>
      <c r="L514" s="48" t="str">
        <f>IF(AND(Creditos!$C$14&lt;&gt;"",Creditos!$M$14="OK",29&lt;=Creditos!$H$14),I514+K514,"")</f>
        <v/>
      </c>
      <c r="M514" s="48" t="str">
        <f>IF(AND(Creditos!$C$14&lt;&gt;"",Creditos!$M$14="OK",29&lt;=Creditos!$H$14),MAX(0,F514-J514),"")</f>
        <v/>
      </c>
      <c r="N514" s="48" t="str">
        <f>IF(AND(Creditos!$C$14&lt;&gt;"",Creditos!$M$14="OK",29&lt;=Creditos!$H$14),SUMIFS(Pagos!$F$6:$F$305,Pagos!$C$6:$C$305,C514,Pagos!$D$6:$D$305,D514,Pagos!$E$6:$E$305,"&lt;="&amp;Supuestos!$D$6,Pagos!$H$6:$H$305,"OK"),"")</f>
        <v/>
      </c>
      <c r="O514" s="48" t="str">
        <f>IF(AND(Creditos!$C$14&lt;&gt;"",Creditos!$M$14="OK",29&lt;=Creditos!$H$14),MIN(J514,MAX(0,N514-K514-H514)),"")</f>
        <v/>
      </c>
      <c r="P514" s="48" t="str">
        <f>IF(AND(Creditos!$C$14&lt;&gt;"",Creditos!$M$14="OK",29&lt;=Creditos!$H$14),MAX(0,L514-N514),"")</f>
        <v/>
      </c>
      <c r="Q514" s="50" t="str">
        <f>IF(AND(Creditos!$C$14&lt;&gt;"",Creditos!$M$14="OK",29&lt;=Creditos!$H$14),IF(AND(E514&lt;Supuestos!$D$6,P514&gt;0.005),Supuestos!$D$6-E514,0),"")</f>
        <v/>
      </c>
      <c r="R514" s="48" t="str">
        <f>IF(AND(Creditos!$C$14&lt;&gt;"",Creditos!$M$14="OK",29&lt;=Creditos!$H$14),MAX(0,N514-L514),"")</f>
        <v/>
      </c>
      <c r="S514" s="46" t="str">
        <f>IF(AND(Creditos!$C$14&lt;&gt;"",Creditos!$M$14="OK",29&lt;=Creditos!$H$14),IF(R514&gt;0.005,"Exceso sin imputar",IF(P514&lt;=0.005,"Pagada",IF(E514&lt;Supuestos!$D$6,"Vencida",IF(E514=Supuestos!$D$6,"Vence hoy","Por vencer")))),"")</f>
        <v/>
      </c>
      <c r="T514" s="46">
        <f>IF(AND(Creditos!$C$14&lt;&gt;"",Creditos!$M$14="OK",29&lt;=Creditos!$H$14),IF(P514&gt;0.005,E514,999999),999999)</f>
        <v>999999</v>
      </c>
    </row>
    <row r="515" ht="25.5" customHeight="1">
      <c r="C515" s="46" t="str">
        <f>IF(AND(Creditos!$C$14&lt;&gt;"",Creditos!$M$14="OK",30&lt;=Creditos!$H$14),Creditos!$C$14,"")</f>
        <v/>
      </c>
      <c r="D515" s="46" t="str">
        <f>IF(AND(Creditos!$C$14&lt;&gt;"",Creditos!$M$14="OK",30&lt;=Creditos!$H$14),30,"")</f>
        <v/>
      </c>
      <c r="E515" s="47" t="str">
        <f>IF(AND(Creditos!$C$14&lt;&gt;"",Creditos!$M$14="OK",30&lt;=Creditos!$H$14),EDATE(Creditos!$I$14,29),"")</f>
        <v/>
      </c>
      <c r="F515" s="48" t="str">
        <f>IF(AND(Creditos!$C$14&lt;&gt;"",Creditos!$M$14="OK",30&lt;=Creditos!$H$14),M514,"")</f>
        <v/>
      </c>
      <c r="G515" s="49" t="str">
        <f>IF(AND(Creditos!$C$14&lt;&gt;"",Creditos!$M$14="OK",30&lt;=Creditos!$H$14),Creditos!$N$14,"")</f>
        <v/>
      </c>
      <c r="H515" s="48" t="str">
        <f>IF(AND(Creditos!$C$14&lt;&gt;"",Creditos!$M$14="OK",30&lt;=Creditos!$H$14),ROUND(F515*G515,2),"")</f>
        <v/>
      </c>
      <c r="I515" s="48" t="str">
        <f>IF(AND(Creditos!$C$14&lt;&gt;"",Creditos!$M$14="OK",30&lt;=Creditos!$H$14),IF(30=Creditos!$H$14,F515+H515,MIN(Creditos!$O$14,F515+H515)),"")</f>
        <v/>
      </c>
      <c r="J515" s="48" t="str">
        <f>IF(AND(Creditos!$C$14&lt;&gt;"",Creditos!$M$14="OK",30&lt;=Creditos!$H$14),MIN(F515,MAX(0,I515-H515)),"")</f>
        <v/>
      </c>
      <c r="K515" s="48" t="str">
        <f>IF(AND(Creditos!$C$14&lt;&gt;"",Creditos!$M$14="OK",30&lt;=Creditos!$H$14),Creditos!$J$14+Creditos!$K$14,"")</f>
        <v/>
      </c>
      <c r="L515" s="48" t="str">
        <f>IF(AND(Creditos!$C$14&lt;&gt;"",Creditos!$M$14="OK",30&lt;=Creditos!$H$14),I515+K515,"")</f>
        <v/>
      </c>
      <c r="M515" s="48" t="str">
        <f>IF(AND(Creditos!$C$14&lt;&gt;"",Creditos!$M$14="OK",30&lt;=Creditos!$H$14),MAX(0,F515-J515),"")</f>
        <v/>
      </c>
      <c r="N515" s="48" t="str">
        <f>IF(AND(Creditos!$C$14&lt;&gt;"",Creditos!$M$14="OK",30&lt;=Creditos!$H$14),SUMIFS(Pagos!$F$6:$F$305,Pagos!$C$6:$C$305,C515,Pagos!$D$6:$D$305,D515,Pagos!$E$6:$E$305,"&lt;="&amp;Supuestos!$D$6,Pagos!$H$6:$H$305,"OK"),"")</f>
        <v/>
      </c>
      <c r="O515" s="48" t="str">
        <f>IF(AND(Creditos!$C$14&lt;&gt;"",Creditos!$M$14="OK",30&lt;=Creditos!$H$14),MIN(J515,MAX(0,N515-K515-H515)),"")</f>
        <v/>
      </c>
      <c r="P515" s="48" t="str">
        <f>IF(AND(Creditos!$C$14&lt;&gt;"",Creditos!$M$14="OK",30&lt;=Creditos!$H$14),MAX(0,L515-N515),"")</f>
        <v/>
      </c>
      <c r="Q515" s="50" t="str">
        <f>IF(AND(Creditos!$C$14&lt;&gt;"",Creditos!$M$14="OK",30&lt;=Creditos!$H$14),IF(AND(E515&lt;Supuestos!$D$6,P515&gt;0.005),Supuestos!$D$6-E515,0),"")</f>
        <v/>
      </c>
      <c r="R515" s="48" t="str">
        <f>IF(AND(Creditos!$C$14&lt;&gt;"",Creditos!$M$14="OK",30&lt;=Creditos!$H$14),MAX(0,N515-L515),"")</f>
        <v/>
      </c>
      <c r="S515" s="46" t="str">
        <f>IF(AND(Creditos!$C$14&lt;&gt;"",Creditos!$M$14="OK",30&lt;=Creditos!$H$14),IF(R515&gt;0.005,"Exceso sin imputar",IF(P515&lt;=0.005,"Pagada",IF(E515&lt;Supuestos!$D$6,"Vencida",IF(E515=Supuestos!$D$6,"Vence hoy","Por vencer")))),"")</f>
        <v/>
      </c>
      <c r="T515" s="46">
        <f>IF(AND(Creditos!$C$14&lt;&gt;"",Creditos!$M$14="OK",30&lt;=Creditos!$H$14),IF(P515&gt;0.005,E515,999999),999999)</f>
        <v>999999</v>
      </c>
    </row>
    <row r="516" ht="25.5" customHeight="1">
      <c r="C516" s="46" t="str">
        <f>IF(AND(Creditos!$C$14&lt;&gt;"",Creditos!$M$14="OK",31&lt;=Creditos!$H$14),Creditos!$C$14,"")</f>
        <v/>
      </c>
      <c r="D516" s="46" t="str">
        <f>IF(AND(Creditos!$C$14&lt;&gt;"",Creditos!$M$14="OK",31&lt;=Creditos!$H$14),31,"")</f>
        <v/>
      </c>
      <c r="E516" s="47" t="str">
        <f>IF(AND(Creditos!$C$14&lt;&gt;"",Creditos!$M$14="OK",31&lt;=Creditos!$H$14),EDATE(Creditos!$I$14,30),"")</f>
        <v/>
      </c>
      <c r="F516" s="48" t="str">
        <f>IF(AND(Creditos!$C$14&lt;&gt;"",Creditos!$M$14="OK",31&lt;=Creditos!$H$14),M515,"")</f>
        <v/>
      </c>
      <c r="G516" s="49" t="str">
        <f>IF(AND(Creditos!$C$14&lt;&gt;"",Creditos!$M$14="OK",31&lt;=Creditos!$H$14),Creditos!$N$14,"")</f>
        <v/>
      </c>
      <c r="H516" s="48" t="str">
        <f>IF(AND(Creditos!$C$14&lt;&gt;"",Creditos!$M$14="OK",31&lt;=Creditos!$H$14),ROUND(F516*G516,2),"")</f>
        <v/>
      </c>
      <c r="I516" s="48" t="str">
        <f>IF(AND(Creditos!$C$14&lt;&gt;"",Creditos!$M$14="OK",31&lt;=Creditos!$H$14),IF(31=Creditos!$H$14,F516+H516,MIN(Creditos!$O$14,F516+H516)),"")</f>
        <v/>
      </c>
      <c r="J516" s="48" t="str">
        <f>IF(AND(Creditos!$C$14&lt;&gt;"",Creditos!$M$14="OK",31&lt;=Creditos!$H$14),MIN(F516,MAX(0,I516-H516)),"")</f>
        <v/>
      </c>
      <c r="K516" s="48" t="str">
        <f>IF(AND(Creditos!$C$14&lt;&gt;"",Creditos!$M$14="OK",31&lt;=Creditos!$H$14),Creditos!$J$14+Creditos!$K$14,"")</f>
        <v/>
      </c>
      <c r="L516" s="48" t="str">
        <f>IF(AND(Creditos!$C$14&lt;&gt;"",Creditos!$M$14="OK",31&lt;=Creditos!$H$14),I516+K516,"")</f>
        <v/>
      </c>
      <c r="M516" s="48" t="str">
        <f>IF(AND(Creditos!$C$14&lt;&gt;"",Creditos!$M$14="OK",31&lt;=Creditos!$H$14),MAX(0,F516-J516),"")</f>
        <v/>
      </c>
      <c r="N516" s="48" t="str">
        <f>IF(AND(Creditos!$C$14&lt;&gt;"",Creditos!$M$14="OK",31&lt;=Creditos!$H$14),SUMIFS(Pagos!$F$6:$F$305,Pagos!$C$6:$C$305,C516,Pagos!$D$6:$D$305,D516,Pagos!$E$6:$E$305,"&lt;="&amp;Supuestos!$D$6,Pagos!$H$6:$H$305,"OK"),"")</f>
        <v/>
      </c>
      <c r="O516" s="48" t="str">
        <f>IF(AND(Creditos!$C$14&lt;&gt;"",Creditos!$M$14="OK",31&lt;=Creditos!$H$14),MIN(J516,MAX(0,N516-K516-H516)),"")</f>
        <v/>
      </c>
      <c r="P516" s="48" t="str">
        <f>IF(AND(Creditos!$C$14&lt;&gt;"",Creditos!$M$14="OK",31&lt;=Creditos!$H$14),MAX(0,L516-N516),"")</f>
        <v/>
      </c>
      <c r="Q516" s="50" t="str">
        <f>IF(AND(Creditos!$C$14&lt;&gt;"",Creditos!$M$14="OK",31&lt;=Creditos!$H$14),IF(AND(E516&lt;Supuestos!$D$6,P516&gt;0.005),Supuestos!$D$6-E516,0),"")</f>
        <v/>
      </c>
      <c r="R516" s="48" t="str">
        <f>IF(AND(Creditos!$C$14&lt;&gt;"",Creditos!$M$14="OK",31&lt;=Creditos!$H$14),MAX(0,N516-L516),"")</f>
        <v/>
      </c>
      <c r="S516" s="46" t="str">
        <f>IF(AND(Creditos!$C$14&lt;&gt;"",Creditos!$M$14="OK",31&lt;=Creditos!$H$14),IF(R516&gt;0.005,"Exceso sin imputar",IF(P516&lt;=0.005,"Pagada",IF(E516&lt;Supuestos!$D$6,"Vencida",IF(E516=Supuestos!$D$6,"Vence hoy","Por vencer")))),"")</f>
        <v/>
      </c>
      <c r="T516" s="46">
        <f>IF(AND(Creditos!$C$14&lt;&gt;"",Creditos!$M$14="OK",31&lt;=Creditos!$H$14),IF(P516&gt;0.005,E516,999999),999999)</f>
        <v>999999</v>
      </c>
    </row>
    <row r="517" ht="25.5" customHeight="1">
      <c r="C517" s="46" t="str">
        <f>IF(AND(Creditos!$C$14&lt;&gt;"",Creditos!$M$14="OK",32&lt;=Creditos!$H$14),Creditos!$C$14,"")</f>
        <v/>
      </c>
      <c r="D517" s="46" t="str">
        <f>IF(AND(Creditos!$C$14&lt;&gt;"",Creditos!$M$14="OK",32&lt;=Creditos!$H$14),32,"")</f>
        <v/>
      </c>
      <c r="E517" s="47" t="str">
        <f>IF(AND(Creditos!$C$14&lt;&gt;"",Creditos!$M$14="OK",32&lt;=Creditos!$H$14),EDATE(Creditos!$I$14,31),"")</f>
        <v/>
      </c>
      <c r="F517" s="48" t="str">
        <f>IF(AND(Creditos!$C$14&lt;&gt;"",Creditos!$M$14="OK",32&lt;=Creditos!$H$14),M516,"")</f>
        <v/>
      </c>
      <c r="G517" s="49" t="str">
        <f>IF(AND(Creditos!$C$14&lt;&gt;"",Creditos!$M$14="OK",32&lt;=Creditos!$H$14),Creditos!$N$14,"")</f>
        <v/>
      </c>
      <c r="H517" s="48" t="str">
        <f>IF(AND(Creditos!$C$14&lt;&gt;"",Creditos!$M$14="OK",32&lt;=Creditos!$H$14),ROUND(F517*G517,2),"")</f>
        <v/>
      </c>
      <c r="I517" s="48" t="str">
        <f>IF(AND(Creditos!$C$14&lt;&gt;"",Creditos!$M$14="OK",32&lt;=Creditos!$H$14),IF(32=Creditos!$H$14,F517+H517,MIN(Creditos!$O$14,F517+H517)),"")</f>
        <v/>
      </c>
      <c r="J517" s="48" t="str">
        <f>IF(AND(Creditos!$C$14&lt;&gt;"",Creditos!$M$14="OK",32&lt;=Creditos!$H$14),MIN(F517,MAX(0,I517-H517)),"")</f>
        <v/>
      </c>
      <c r="K517" s="48" t="str">
        <f>IF(AND(Creditos!$C$14&lt;&gt;"",Creditos!$M$14="OK",32&lt;=Creditos!$H$14),Creditos!$J$14+Creditos!$K$14,"")</f>
        <v/>
      </c>
      <c r="L517" s="48" t="str">
        <f>IF(AND(Creditos!$C$14&lt;&gt;"",Creditos!$M$14="OK",32&lt;=Creditos!$H$14),I517+K517,"")</f>
        <v/>
      </c>
      <c r="M517" s="48" t="str">
        <f>IF(AND(Creditos!$C$14&lt;&gt;"",Creditos!$M$14="OK",32&lt;=Creditos!$H$14),MAX(0,F517-J517),"")</f>
        <v/>
      </c>
      <c r="N517" s="48" t="str">
        <f>IF(AND(Creditos!$C$14&lt;&gt;"",Creditos!$M$14="OK",32&lt;=Creditos!$H$14),SUMIFS(Pagos!$F$6:$F$305,Pagos!$C$6:$C$305,C517,Pagos!$D$6:$D$305,D517,Pagos!$E$6:$E$305,"&lt;="&amp;Supuestos!$D$6,Pagos!$H$6:$H$305,"OK"),"")</f>
        <v/>
      </c>
      <c r="O517" s="48" t="str">
        <f>IF(AND(Creditos!$C$14&lt;&gt;"",Creditos!$M$14="OK",32&lt;=Creditos!$H$14),MIN(J517,MAX(0,N517-K517-H517)),"")</f>
        <v/>
      </c>
      <c r="P517" s="48" t="str">
        <f>IF(AND(Creditos!$C$14&lt;&gt;"",Creditos!$M$14="OK",32&lt;=Creditos!$H$14),MAX(0,L517-N517),"")</f>
        <v/>
      </c>
      <c r="Q517" s="50" t="str">
        <f>IF(AND(Creditos!$C$14&lt;&gt;"",Creditos!$M$14="OK",32&lt;=Creditos!$H$14),IF(AND(E517&lt;Supuestos!$D$6,P517&gt;0.005),Supuestos!$D$6-E517,0),"")</f>
        <v/>
      </c>
      <c r="R517" s="48" t="str">
        <f>IF(AND(Creditos!$C$14&lt;&gt;"",Creditos!$M$14="OK",32&lt;=Creditos!$H$14),MAX(0,N517-L517),"")</f>
        <v/>
      </c>
      <c r="S517" s="46" t="str">
        <f>IF(AND(Creditos!$C$14&lt;&gt;"",Creditos!$M$14="OK",32&lt;=Creditos!$H$14),IF(R517&gt;0.005,"Exceso sin imputar",IF(P517&lt;=0.005,"Pagada",IF(E517&lt;Supuestos!$D$6,"Vencida",IF(E517=Supuestos!$D$6,"Vence hoy","Por vencer")))),"")</f>
        <v/>
      </c>
      <c r="T517" s="46">
        <f>IF(AND(Creditos!$C$14&lt;&gt;"",Creditos!$M$14="OK",32&lt;=Creditos!$H$14),IF(P517&gt;0.005,E517,999999),999999)</f>
        <v>999999</v>
      </c>
    </row>
    <row r="518" ht="25.5" customHeight="1">
      <c r="C518" s="46" t="str">
        <f>IF(AND(Creditos!$C$14&lt;&gt;"",Creditos!$M$14="OK",33&lt;=Creditos!$H$14),Creditos!$C$14,"")</f>
        <v/>
      </c>
      <c r="D518" s="46" t="str">
        <f>IF(AND(Creditos!$C$14&lt;&gt;"",Creditos!$M$14="OK",33&lt;=Creditos!$H$14),33,"")</f>
        <v/>
      </c>
      <c r="E518" s="47" t="str">
        <f>IF(AND(Creditos!$C$14&lt;&gt;"",Creditos!$M$14="OK",33&lt;=Creditos!$H$14),EDATE(Creditos!$I$14,32),"")</f>
        <v/>
      </c>
      <c r="F518" s="48" t="str">
        <f>IF(AND(Creditos!$C$14&lt;&gt;"",Creditos!$M$14="OK",33&lt;=Creditos!$H$14),M517,"")</f>
        <v/>
      </c>
      <c r="G518" s="49" t="str">
        <f>IF(AND(Creditos!$C$14&lt;&gt;"",Creditos!$M$14="OK",33&lt;=Creditos!$H$14),Creditos!$N$14,"")</f>
        <v/>
      </c>
      <c r="H518" s="48" t="str">
        <f>IF(AND(Creditos!$C$14&lt;&gt;"",Creditos!$M$14="OK",33&lt;=Creditos!$H$14),ROUND(F518*G518,2),"")</f>
        <v/>
      </c>
      <c r="I518" s="48" t="str">
        <f>IF(AND(Creditos!$C$14&lt;&gt;"",Creditos!$M$14="OK",33&lt;=Creditos!$H$14),IF(33=Creditos!$H$14,F518+H518,MIN(Creditos!$O$14,F518+H518)),"")</f>
        <v/>
      </c>
      <c r="J518" s="48" t="str">
        <f>IF(AND(Creditos!$C$14&lt;&gt;"",Creditos!$M$14="OK",33&lt;=Creditos!$H$14),MIN(F518,MAX(0,I518-H518)),"")</f>
        <v/>
      </c>
      <c r="K518" s="48" t="str">
        <f>IF(AND(Creditos!$C$14&lt;&gt;"",Creditos!$M$14="OK",33&lt;=Creditos!$H$14),Creditos!$J$14+Creditos!$K$14,"")</f>
        <v/>
      </c>
      <c r="L518" s="48" t="str">
        <f>IF(AND(Creditos!$C$14&lt;&gt;"",Creditos!$M$14="OK",33&lt;=Creditos!$H$14),I518+K518,"")</f>
        <v/>
      </c>
      <c r="M518" s="48" t="str">
        <f>IF(AND(Creditos!$C$14&lt;&gt;"",Creditos!$M$14="OK",33&lt;=Creditos!$H$14),MAX(0,F518-J518),"")</f>
        <v/>
      </c>
      <c r="N518" s="48" t="str">
        <f>IF(AND(Creditos!$C$14&lt;&gt;"",Creditos!$M$14="OK",33&lt;=Creditos!$H$14),SUMIFS(Pagos!$F$6:$F$305,Pagos!$C$6:$C$305,C518,Pagos!$D$6:$D$305,D518,Pagos!$E$6:$E$305,"&lt;="&amp;Supuestos!$D$6,Pagos!$H$6:$H$305,"OK"),"")</f>
        <v/>
      </c>
      <c r="O518" s="48" t="str">
        <f>IF(AND(Creditos!$C$14&lt;&gt;"",Creditos!$M$14="OK",33&lt;=Creditos!$H$14),MIN(J518,MAX(0,N518-K518-H518)),"")</f>
        <v/>
      </c>
      <c r="P518" s="48" t="str">
        <f>IF(AND(Creditos!$C$14&lt;&gt;"",Creditos!$M$14="OK",33&lt;=Creditos!$H$14),MAX(0,L518-N518),"")</f>
        <v/>
      </c>
      <c r="Q518" s="50" t="str">
        <f>IF(AND(Creditos!$C$14&lt;&gt;"",Creditos!$M$14="OK",33&lt;=Creditos!$H$14),IF(AND(E518&lt;Supuestos!$D$6,P518&gt;0.005),Supuestos!$D$6-E518,0),"")</f>
        <v/>
      </c>
      <c r="R518" s="48" t="str">
        <f>IF(AND(Creditos!$C$14&lt;&gt;"",Creditos!$M$14="OK",33&lt;=Creditos!$H$14),MAX(0,N518-L518),"")</f>
        <v/>
      </c>
      <c r="S518" s="46" t="str">
        <f>IF(AND(Creditos!$C$14&lt;&gt;"",Creditos!$M$14="OK",33&lt;=Creditos!$H$14),IF(R518&gt;0.005,"Exceso sin imputar",IF(P518&lt;=0.005,"Pagada",IF(E518&lt;Supuestos!$D$6,"Vencida",IF(E518=Supuestos!$D$6,"Vence hoy","Por vencer")))),"")</f>
        <v/>
      </c>
      <c r="T518" s="46">
        <f>IF(AND(Creditos!$C$14&lt;&gt;"",Creditos!$M$14="OK",33&lt;=Creditos!$H$14),IF(P518&gt;0.005,E518,999999),999999)</f>
        <v>999999</v>
      </c>
    </row>
    <row r="519" ht="25.5" customHeight="1">
      <c r="C519" s="46" t="str">
        <f>IF(AND(Creditos!$C$14&lt;&gt;"",Creditos!$M$14="OK",34&lt;=Creditos!$H$14),Creditos!$C$14,"")</f>
        <v/>
      </c>
      <c r="D519" s="46" t="str">
        <f>IF(AND(Creditos!$C$14&lt;&gt;"",Creditos!$M$14="OK",34&lt;=Creditos!$H$14),34,"")</f>
        <v/>
      </c>
      <c r="E519" s="47" t="str">
        <f>IF(AND(Creditos!$C$14&lt;&gt;"",Creditos!$M$14="OK",34&lt;=Creditos!$H$14),EDATE(Creditos!$I$14,33),"")</f>
        <v/>
      </c>
      <c r="F519" s="48" t="str">
        <f>IF(AND(Creditos!$C$14&lt;&gt;"",Creditos!$M$14="OK",34&lt;=Creditos!$H$14),M518,"")</f>
        <v/>
      </c>
      <c r="G519" s="49" t="str">
        <f>IF(AND(Creditos!$C$14&lt;&gt;"",Creditos!$M$14="OK",34&lt;=Creditos!$H$14),Creditos!$N$14,"")</f>
        <v/>
      </c>
      <c r="H519" s="48" t="str">
        <f>IF(AND(Creditos!$C$14&lt;&gt;"",Creditos!$M$14="OK",34&lt;=Creditos!$H$14),ROUND(F519*G519,2),"")</f>
        <v/>
      </c>
      <c r="I519" s="48" t="str">
        <f>IF(AND(Creditos!$C$14&lt;&gt;"",Creditos!$M$14="OK",34&lt;=Creditos!$H$14),IF(34=Creditos!$H$14,F519+H519,MIN(Creditos!$O$14,F519+H519)),"")</f>
        <v/>
      </c>
      <c r="J519" s="48" t="str">
        <f>IF(AND(Creditos!$C$14&lt;&gt;"",Creditos!$M$14="OK",34&lt;=Creditos!$H$14),MIN(F519,MAX(0,I519-H519)),"")</f>
        <v/>
      </c>
      <c r="K519" s="48" t="str">
        <f>IF(AND(Creditos!$C$14&lt;&gt;"",Creditos!$M$14="OK",34&lt;=Creditos!$H$14),Creditos!$J$14+Creditos!$K$14,"")</f>
        <v/>
      </c>
      <c r="L519" s="48" t="str">
        <f>IF(AND(Creditos!$C$14&lt;&gt;"",Creditos!$M$14="OK",34&lt;=Creditos!$H$14),I519+K519,"")</f>
        <v/>
      </c>
      <c r="M519" s="48" t="str">
        <f>IF(AND(Creditos!$C$14&lt;&gt;"",Creditos!$M$14="OK",34&lt;=Creditos!$H$14),MAX(0,F519-J519),"")</f>
        <v/>
      </c>
      <c r="N519" s="48" t="str">
        <f>IF(AND(Creditos!$C$14&lt;&gt;"",Creditos!$M$14="OK",34&lt;=Creditos!$H$14),SUMIFS(Pagos!$F$6:$F$305,Pagos!$C$6:$C$305,C519,Pagos!$D$6:$D$305,D519,Pagos!$E$6:$E$305,"&lt;="&amp;Supuestos!$D$6,Pagos!$H$6:$H$305,"OK"),"")</f>
        <v/>
      </c>
      <c r="O519" s="48" t="str">
        <f>IF(AND(Creditos!$C$14&lt;&gt;"",Creditos!$M$14="OK",34&lt;=Creditos!$H$14),MIN(J519,MAX(0,N519-K519-H519)),"")</f>
        <v/>
      </c>
      <c r="P519" s="48" t="str">
        <f>IF(AND(Creditos!$C$14&lt;&gt;"",Creditos!$M$14="OK",34&lt;=Creditos!$H$14),MAX(0,L519-N519),"")</f>
        <v/>
      </c>
      <c r="Q519" s="50" t="str">
        <f>IF(AND(Creditos!$C$14&lt;&gt;"",Creditos!$M$14="OK",34&lt;=Creditos!$H$14),IF(AND(E519&lt;Supuestos!$D$6,P519&gt;0.005),Supuestos!$D$6-E519,0),"")</f>
        <v/>
      </c>
      <c r="R519" s="48" t="str">
        <f>IF(AND(Creditos!$C$14&lt;&gt;"",Creditos!$M$14="OK",34&lt;=Creditos!$H$14),MAX(0,N519-L519),"")</f>
        <v/>
      </c>
      <c r="S519" s="46" t="str">
        <f>IF(AND(Creditos!$C$14&lt;&gt;"",Creditos!$M$14="OK",34&lt;=Creditos!$H$14),IF(R519&gt;0.005,"Exceso sin imputar",IF(P519&lt;=0.005,"Pagada",IF(E519&lt;Supuestos!$D$6,"Vencida",IF(E519=Supuestos!$D$6,"Vence hoy","Por vencer")))),"")</f>
        <v/>
      </c>
      <c r="T519" s="46">
        <f>IF(AND(Creditos!$C$14&lt;&gt;"",Creditos!$M$14="OK",34&lt;=Creditos!$H$14),IF(P519&gt;0.005,E519,999999),999999)</f>
        <v>999999</v>
      </c>
    </row>
    <row r="520" ht="25.5" customHeight="1">
      <c r="C520" s="46" t="str">
        <f>IF(AND(Creditos!$C$14&lt;&gt;"",Creditos!$M$14="OK",35&lt;=Creditos!$H$14),Creditos!$C$14,"")</f>
        <v/>
      </c>
      <c r="D520" s="46" t="str">
        <f>IF(AND(Creditos!$C$14&lt;&gt;"",Creditos!$M$14="OK",35&lt;=Creditos!$H$14),35,"")</f>
        <v/>
      </c>
      <c r="E520" s="47" t="str">
        <f>IF(AND(Creditos!$C$14&lt;&gt;"",Creditos!$M$14="OK",35&lt;=Creditos!$H$14),EDATE(Creditos!$I$14,34),"")</f>
        <v/>
      </c>
      <c r="F520" s="48" t="str">
        <f>IF(AND(Creditos!$C$14&lt;&gt;"",Creditos!$M$14="OK",35&lt;=Creditos!$H$14),M519,"")</f>
        <v/>
      </c>
      <c r="G520" s="49" t="str">
        <f>IF(AND(Creditos!$C$14&lt;&gt;"",Creditos!$M$14="OK",35&lt;=Creditos!$H$14),Creditos!$N$14,"")</f>
        <v/>
      </c>
      <c r="H520" s="48" t="str">
        <f>IF(AND(Creditos!$C$14&lt;&gt;"",Creditos!$M$14="OK",35&lt;=Creditos!$H$14),ROUND(F520*G520,2),"")</f>
        <v/>
      </c>
      <c r="I520" s="48" t="str">
        <f>IF(AND(Creditos!$C$14&lt;&gt;"",Creditos!$M$14="OK",35&lt;=Creditos!$H$14),IF(35=Creditos!$H$14,F520+H520,MIN(Creditos!$O$14,F520+H520)),"")</f>
        <v/>
      </c>
      <c r="J520" s="48" t="str">
        <f>IF(AND(Creditos!$C$14&lt;&gt;"",Creditos!$M$14="OK",35&lt;=Creditos!$H$14),MIN(F520,MAX(0,I520-H520)),"")</f>
        <v/>
      </c>
      <c r="K520" s="48" t="str">
        <f>IF(AND(Creditos!$C$14&lt;&gt;"",Creditos!$M$14="OK",35&lt;=Creditos!$H$14),Creditos!$J$14+Creditos!$K$14,"")</f>
        <v/>
      </c>
      <c r="L520" s="48" t="str">
        <f>IF(AND(Creditos!$C$14&lt;&gt;"",Creditos!$M$14="OK",35&lt;=Creditos!$H$14),I520+K520,"")</f>
        <v/>
      </c>
      <c r="M520" s="48" t="str">
        <f>IF(AND(Creditos!$C$14&lt;&gt;"",Creditos!$M$14="OK",35&lt;=Creditos!$H$14),MAX(0,F520-J520),"")</f>
        <v/>
      </c>
      <c r="N520" s="48" t="str">
        <f>IF(AND(Creditos!$C$14&lt;&gt;"",Creditos!$M$14="OK",35&lt;=Creditos!$H$14),SUMIFS(Pagos!$F$6:$F$305,Pagos!$C$6:$C$305,C520,Pagos!$D$6:$D$305,D520,Pagos!$E$6:$E$305,"&lt;="&amp;Supuestos!$D$6,Pagos!$H$6:$H$305,"OK"),"")</f>
        <v/>
      </c>
      <c r="O520" s="48" t="str">
        <f>IF(AND(Creditos!$C$14&lt;&gt;"",Creditos!$M$14="OK",35&lt;=Creditos!$H$14),MIN(J520,MAX(0,N520-K520-H520)),"")</f>
        <v/>
      </c>
      <c r="P520" s="48" t="str">
        <f>IF(AND(Creditos!$C$14&lt;&gt;"",Creditos!$M$14="OK",35&lt;=Creditos!$H$14),MAX(0,L520-N520),"")</f>
        <v/>
      </c>
      <c r="Q520" s="50" t="str">
        <f>IF(AND(Creditos!$C$14&lt;&gt;"",Creditos!$M$14="OK",35&lt;=Creditos!$H$14),IF(AND(E520&lt;Supuestos!$D$6,P520&gt;0.005),Supuestos!$D$6-E520,0),"")</f>
        <v/>
      </c>
      <c r="R520" s="48" t="str">
        <f>IF(AND(Creditos!$C$14&lt;&gt;"",Creditos!$M$14="OK",35&lt;=Creditos!$H$14),MAX(0,N520-L520),"")</f>
        <v/>
      </c>
      <c r="S520" s="46" t="str">
        <f>IF(AND(Creditos!$C$14&lt;&gt;"",Creditos!$M$14="OK",35&lt;=Creditos!$H$14),IF(R520&gt;0.005,"Exceso sin imputar",IF(P520&lt;=0.005,"Pagada",IF(E520&lt;Supuestos!$D$6,"Vencida",IF(E520=Supuestos!$D$6,"Vence hoy","Por vencer")))),"")</f>
        <v/>
      </c>
      <c r="T520" s="46">
        <f>IF(AND(Creditos!$C$14&lt;&gt;"",Creditos!$M$14="OK",35&lt;=Creditos!$H$14),IF(P520&gt;0.005,E520,999999),999999)</f>
        <v>999999</v>
      </c>
    </row>
    <row r="521" ht="25.5" customHeight="1">
      <c r="C521" s="46" t="str">
        <f>IF(AND(Creditos!$C$14&lt;&gt;"",Creditos!$M$14="OK",36&lt;=Creditos!$H$14),Creditos!$C$14,"")</f>
        <v/>
      </c>
      <c r="D521" s="46" t="str">
        <f>IF(AND(Creditos!$C$14&lt;&gt;"",Creditos!$M$14="OK",36&lt;=Creditos!$H$14),36,"")</f>
        <v/>
      </c>
      <c r="E521" s="47" t="str">
        <f>IF(AND(Creditos!$C$14&lt;&gt;"",Creditos!$M$14="OK",36&lt;=Creditos!$H$14),EDATE(Creditos!$I$14,35),"")</f>
        <v/>
      </c>
      <c r="F521" s="48" t="str">
        <f>IF(AND(Creditos!$C$14&lt;&gt;"",Creditos!$M$14="OK",36&lt;=Creditos!$H$14),M520,"")</f>
        <v/>
      </c>
      <c r="G521" s="49" t="str">
        <f>IF(AND(Creditos!$C$14&lt;&gt;"",Creditos!$M$14="OK",36&lt;=Creditos!$H$14),Creditos!$N$14,"")</f>
        <v/>
      </c>
      <c r="H521" s="48" t="str">
        <f>IF(AND(Creditos!$C$14&lt;&gt;"",Creditos!$M$14="OK",36&lt;=Creditos!$H$14),ROUND(F521*G521,2),"")</f>
        <v/>
      </c>
      <c r="I521" s="48" t="str">
        <f>IF(AND(Creditos!$C$14&lt;&gt;"",Creditos!$M$14="OK",36&lt;=Creditos!$H$14),IF(36=Creditos!$H$14,F521+H521,MIN(Creditos!$O$14,F521+H521)),"")</f>
        <v/>
      </c>
      <c r="J521" s="48" t="str">
        <f>IF(AND(Creditos!$C$14&lt;&gt;"",Creditos!$M$14="OK",36&lt;=Creditos!$H$14),MIN(F521,MAX(0,I521-H521)),"")</f>
        <v/>
      </c>
      <c r="K521" s="48" t="str">
        <f>IF(AND(Creditos!$C$14&lt;&gt;"",Creditos!$M$14="OK",36&lt;=Creditos!$H$14),Creditos!$J$14+Creditos!$K$14,"")</f>
        <v/>
      </c>
      <c r="L521" s="48" t="str">
        <f>IF(AND(Creditos!$C$14&lt;&gt;"",Creditos!$M$14="OK",36&lt;=Creditos!$H$14),I521+K521,"")</f>
        <v/>
      </c>
      <c r="M521" s="48" t="str">
        <f>IF(AND(Creditos!$C$14&lt;&gt;"",Creditos!$M$14="OK",36&lt;=Creditos!$H$14),MAX(0,F521-J521),"")</f>
        <v/>
      </c>
      <c r="N521" s="48" t="str">
        <f>IF(AND(Creditos!$C$14&lt;&gt;"",Creditos!$M$14="OK",36&lt;=Creditos!$H$14),SUMIFS(Pagos!$F$6:$F$305,Pagos!$C$6:$C$305,C521,Pagos!$D$6:$D$305,D521,Pagos!$E$6:$E$305,"&lt;="&amp;Supuestos!$D$6,Pagos!$H$6:$H$305,"OK"),"")</f>
        <v/>
      </c>
      <c r="O521" s="48" t="str">
        <f>IF(AND(Creditos!$C$14&lt;&gt;"",Creditos!$M$14="OK",36&lt;=Creditos!$H$14),MIN(J521,MAX(0,N521-K521-H521)),"")</f>
        <v/>
      </c>
      <c r="P521" s="48" t="str">
        <f>IF(AND(Creditos!$C$14&lt;&gt;"",Creditos!$M$14="OK",36&lt;=Creditos!$H$14),MAX(0,L521-N521),"")</f>
        <v/>
      </c>
      <c r="Q521" s="50" t="str">
        <f>IF(AND(Creditos!$C$14&lt;&gt;"",Creditos!$M$14="OK",36&lt;=Creditos!$H$14),IF(AND(E521&lt;Supuestos!$D$6,P521&gt;0.005),Supuestos!$D$6-E521,0),"")</f>
        <v/>
      </c>
      <c r="R521" s="48" t="str">
        <f>IF(AND(Creditos!$C$14&lt;&gt;"",Creditos!$M$14="OK",36&lt;=Creditos!$H$14),MAX(0,N521-L521),"")</f>
        <v/>
      </c>
      <c r="S521" s="46" t="str">
        <f>IF(AND(Creditos!$C$14&lt;&gt;"",Creditos!$M$14="OK",36&lt;=Creditos!$H$14),IF(R521&gt;0.005,"Exceso sin imputar",IF(P521&lt;=0.005,"Pagada",IF(E521&lt;Supuestos!$D$6,"Vencida",IF(E521=Supuestos!$D$6,"Vence hoy","Por vencer")))),"")</f>
        <v/>
      </c>
      <c r="T521" s="46">
        <f>IF(AND(Creditos!$C$14&lt;&gt;"",Creditos!$M$14="OK",36&lt;=Creditos!$H$14),IF(P521&gt;0.005,E521,999999),999999)</f>
        <v>999999</v>
      </c>
    </row>
    <row r="522" ht="25.5" customHeight="1">
      <c r="C522" s="46" t="str">
        <f>IF(AND(Creditos!$C$14&lt;&gt;"",Creditos!$M$14="OK",37&lt;=Creditos!$H$14),Creditos!$C$14,"")</f>
        <v/>
      </c>
      <c r="D522" s="46" t="str">
        <f>IF(AND(Creditos!$C$14&lt;&gt;"",Creditos!$M$14="OK",37&lt;=Creditos!$H$14),37,"")</f>
        <v/>
      </c>
      <c r="E522" s="47" t="str">
        <f>IF(AND(Creditos!$C$14&lt;&gt;"",Creditos!$M$14="OK",37&lt;=Creditos!$H$14),EDATE(Creditos!$I$14,36),"")</f>
        <v/>
      </c>
      <c r="F522" s="48" t="str">
        <f>IF(AND(Creditos!$C$14&lt;&gt;"",Creditos!$M$14="OK",37&lt;=Creditos!$H$14),M521,"")</f>
        <v/>
      </c>
      <c r="G522" s="49" t="str">
        <f>IF(AND(Creditos!$C$14&lt;&gt;"",Creditos!$M$14="OK",37&lt;=Creditos!$H$14),Creditos!$N$14,"")</f>
        <v/>
      </c>
      <c r="H522" s="48" t="str">
        <f>IF(AND(Creditos!$C$14&lt;&gt;"",Creditos!$M$14="OK",37&lt;=Creditos!$H$14),ROUND(F522*G522,2),"")</f>
        <v/>
      </c>
      <c r="I522" s="48" t="str">
        <f>IF(AND(Creditos!$C$14&lt;&gt;"",Creditos!$M$14="OK",37&lt;=Creditos!$H$14),IF(37=Creditos!$H$14,F522+H522,MIN(Creditos!$O$14,F522+H522)),"")</f>
        <v/>
      </c>
      <c r="J522" s="48" t="str">
        <f>IF(AND(Creditos!$C$14&lt;&gt;"",Creditos!$M$14="OK",37&lt;=Creditos!$H$14),MIN(F522,MAX(0,I522-H522)),"")</f>
        <v/>
      </c>
      <c r="K522" s="48" t="str">
        <f>IF(AND(Creditos!$C$14&lt;&gt;"",Creditos!$M$14="OK",37&lt;=Creditos!$H$14),Creditos!$J$14+Creditos!$K$14,"")</f>
        <v/>
      </c>
      <c r="L522" s="48" t="str">
        <f>IF(AND(Creditos!$C$14&lt;&gt;"",Creditos!$M$14="OK",37&lt;=Creditos!$H$14),I522+K522,"")</f>
        <v/>
      </c>
      <c r="M522" s="48" t="str">
        <f>IF(AND(Creditos!$C$14&lt;&gt;"",Creditos!$M$14="OK",37&lt;=Creditos!$H$14),MAX(0,F522-J522),"")</f>
        <v/>
      </c>
      <c r="N522" s="48" t="str">
        <f>IF(AND(Creditos!$C$14&lt;&gt;"",Creditos!$M$14="OK",37&lt;=Creditos!$H$14),SUMIFS(Pagos!$F$6:$F$305,Pagos!$C$6:$C$305,C522,Pagos!$D$6:$D$305,D522,Pagos!$E$6:$E$305,"&lt;="&amp;Supuestos!$D$6,Pagos!$H$6:$H$305,"OK"),"")</f>
        <v/>
      </c>
      <c r="O522" s="48" t="str">
        <f>IF(AND(Creditos!$C$14&lt;&gt;"",Creditos!$M$14="OK",37&lt;=Creditos!$H$14),MIN(J522,MAX(0,N522-K522-H522)),"")</f>
        <v/>
      </c>
      <c r="P522" s="48" t="str">
        <f>IF(AND(Creditos!$C$14&lt;&gt;"",Creditos!$M$14="OK",37&lt;=Creditos!$H$14),MAX(0,L522-N522),"")</f>
        <v/>
      </c>
      <c r="Q522" s="50" t="str">
        <f>IF(AND(Creditos!$C$14&lt;&gt;"",Creditos!$M$14="OK",37&lt;=Creditos!$H$14),IF(AND(E522&lt;Supuestos!$D$6,P522&gt;0.005),Supuestos!$D$6-E522,0),"")</f>
        <v/>
      </c>
      <c r="R522" s="48" t="str">
        <f>IF(AND(Creditos!$C$14&lt;&gt;"",Creditos!$M$14="OK",37&lt;=Creditos!$H$14),MAX(0,N522-L522),"")</f>
        <v/>
      </c>
      <c r="S522" s="46" t="str">
        <f>IF(AND(Creditos!$C$14&lt;&gt;"",Creditos!$M$14="OK",37&lt;=Creditos!$H$14),IF(R522&gt;0.005,"Exceso sin imputar",IF(P522&lt;=0.005,"Pagada",IF(E522&lt;Supuestos!$D$6,"Vencida",IF(E522=Supuestos!$D$6,"Vence hoy","Por vencer")))),"")</f>
        <v/>
      </c>
      <c r="T522" s="46">
        <f>IF(AND(Creditos!$C$14&lt;&gt;"",Creditos!$M$14="OK",37&lt;=Creditos!$H$14),IF(P522&gt;0.005,E522,999999),999999)</f>
        <v>999999</v>
      </c>
    </row>
    <row r="523" ht="25.5" customHeight="1">
      <c r="C523" s="46" t="str">
        <f>IF(AND(Creditos!$C$14&lt;&gt;"",Creditos!$M$14="OK",38&lt;=Creditos!$H$14),Creditos!$C$14,"")</f>
        <v/>
      </c>
      <c r="D523" s="46" t="str">
        <f>IF(AND(Creditos!$C$14&lt;&gt;"",Creditos!$M$14="OK",38&lt;=Creditos!$H$14),38,"")</f>
        <v/>
      </c>
      <c r="E523" s="47" t="str">
        <f>IF(AND(Creditos!$C$14&lt;&gt;"",Creditos!$M$14="OK",38&lt;=Creditos!$H$14),EDATE(Creditos!$I$14,37),"")</f>
        <v/>
      </c>
      <c r="F523" s="48" t="str">
        <f>IF(AND(Creditos!$C$14&lt;&gt;"",Creditos!$M$14="OK",38&lt;=Creditos!$H$14),M522,"")</f>
        <v/>
      </c>
      <c r="G523" s="49" t="str">
        <f>IF(AND(Creditos!$C$14&lt;&gt;"",Creditos!$M$14="OK",38&lt;=Creditos!$H$14),Creditos!$N$14,"")</f>
        <v/>
      </c>
      <c r="H523" s="48" t="str">
        <f>IF(AND(Creditos!$C$14&lt;&gt;"",Creditos!$M$14="OK",38&lt;=Creditos!$H$14),ROUND(F523*G523,2),"")</f>
        <v/>
      </c>
      <c r="I523" s="48" t="str">
        <f>IF(AND(Creditos!$C$14&lt;&gt;"",Creditos!$M$14="OK",38&lt;=Creditos!$H$14),IF(38=Creditos!$H$14,F523+H523,MIN(Creditos!$O$14,F523+H523)),"")</f>
        <v/>
      </c>
      <c r="J523" s="48" t="str">
        <f>IF(AND(Creditos!$C$14&lt;&gt;"",Creditos!$M$14="OK",38&lt;=Creditos!$H$14),MIN(F523,MAX(0,I523-H523)),"")</f>
        <v/>
      </c>
      <c r="K523" s="48" t="str">
        <f>IF(AND(Creditos!$C$14&lt;&gt;"",Creditos!$M$14="OK",38&lt;=Creditos!$H$14),Creditos!$J$14+Creditos!$K$14,"")</f>
        <v/>
      </c>
      <c r="L523" s="48" t="str">
        <f>IF(AND(Creditos!$C$14&lt;&gt;"",Creditos!$M$14="OK",38&lt;=Creditos!$H$14),I523+K523,"")</f>
        <v/>
      </c>
      <c r="M523" s="48" t="str">
        <f>IF(AND(Creditos!$C$14&lt;&gt;"",Creditos!$M$14="OK",38&lt;=Creditos!$H$14),MAX(0,F523-J523),"")</f>
        <v/>
      </c>
      <c r="N523" s="48" t="str">
        <f>IF(AND(Creditos!$C$14&lt;&gt;"",Creditos!$M$14="OK",38&lt;=Creditos!$H$14),SUMIFS(Pagos!$F$6:$F$305,Pagos!$C$6:$C$305,C523,Pagos!$D$6:$D$305,D523,Pagos!$E$6:$E$305,"&lt;="&amp;Supuestos!$D$6,Pagos!$H$6:$H$305,"OK"),"")</f>
        <v/>
      </c>
      <c r="O523" s="48" t="str">
        <f>IF(AND(Creditos!$C$14&lt;&gt;"",Creditos!$M$14="OK",38&lt;=Creditos!$H$14),MIN(J523,MAX(0,N523-K523-H523)),"")</f>
        <v/>
      </c>
      <c r="P523" s="48" t="str">
        <f>IF(AND(Creditos!$C$14&lt;&gt;"",Creditos!$M$14="OK",38&lt;=Creditos!$H$14),MAX(0,L523-N523),"")</f>
        <v/>
      </c>
      <c r="Q523" s="50" t="str">
        <f>IF(AND(Creditos!$C$14&lt;&gt;"",Creditos!$M$14="OK",38&lt;=Creditos!$H$14),IF(AND(E523&lt;Supuestos!$D$6,P523&gt;0.005),Supuestos!$D$6-E523,0),"")</f>
        <v/>
      </c>
      <c r="R523" s="48" t="str">
        <f>IF(AND(Creditos!$C$14&lt;&gt;"",Creditos!$M$14="OK",38&lt;=Creditos!$H$14),MAX(0,N523-L523),"")</f>
        <v/>
      </c>
      <c r="S523" s="46" t="str">
        <f>IF(AND(Creditos!$C$14&lt;&gt;"",Creditos!$M$14="OK",38&lt;=Creditos!$H$14),IF(R523&gt;0.005,"Exceso sin imputar",IF(P523&lt;=0.005,"Pagada",IF(E523&lt;Supuestos!$D$6,"Vencida",IF(E523=Supuestos!$D$6,"Vence hoy","Por vencer")))),"")</f>
        <v/>
      </c>
      <c r="T523" s="46">
        <f>IF(AND(Creditos!$C$14&lt;&gt;"",Creditos!$M$14="OK",38&lt;=Creditos!$H$14),IF(P523&gt;0.005,E523,999999),999999)</f>
        <v>999999</v>
      </c>
    </row>
    <row r="524" ht="25.5" customHeight="1">
      <c r="C524" s="46" t="str">
        <f>IF(AND(Creditos!$C$14&lt;&gt;"",Creditos!$M$14="OK",39&lt;=Creditos!$H$14),Creditos!$C$14,"")</f>
        <v/>
      </c>
      <c r="D524" s="46" t="str">
        <f>IF(AND(Creditos!$C$14&lt;&gt;"",Creditos!$M$14="OK",39&lt;=Creditos!$H$14),39,"")</f>
        <v/>
      </c>
      <c r="E524" s="47" t="str">
        <f>IF(AND(Creditos!$C$14&lt;&gt;"",Creditos!$M$14="OK",39&lt;=Creditos!$H$14),EDATE(Creditos!$I$14,38),"")</f>
        <v/>
      </c>
      <c r="F524" s="48" t="str">
        <f>IF(AND(Creditos!$C$14&lt;&gt;"",Creditos!$M$14="OK",39&lt;=Creditos!$H$14),M523,"")</f>
        <v/>
      </c>
      <c r="G524" s="49" t="str">
        <f>IF(AND(Creditos!$C$14&lt;&gt;"",Creditos!$M$14="OK",39&lt;=Creditos!$H$14),Creditos!$N$14,"")</f>
        <v/>
      </c>
      <c r="H524" s="48" t="str">
        <f>IF(AND(Creditos!$C$14&lt;&gt;"",Creditos!$M$14="OK",39&lt;=Creditos!$H$14),ROUND(F524*G524,2),"")</f>
        <v/>
      </c>
      <c r="I524" s="48" t="str">
        <f>IF(AND(Creditos!$C$14&lt;&gt;"",Creditos!$M$14="OK",39&lt;=Creditos!$H$14),IF(39=Creditos!$H$14,F524+H524,MIN(Creditos!$O$14,F524+H524)),"")</f>
        <v/>
      </c>
      <c r="J524" s="48" t="str">
        <f>IF(AND(Creditos!$C$14&lt;&gt;"",Creditos!$M$14="OK",39&lt;=Creditos!$H$14),MIN(F524,MAX(0,I524-H524)),"")</f>
        <v/>
      </c>
      <c r="K524" s="48" t="str">
        <f>IF(AND(Creditos!$C$14&lt;&gt;"",Creditos!$M$14="OK",39&lt;=Creditos!$H$14),Creditos!$J$14+Creditos!$K$14,"")</f>
        <v/>
      </c>
      <c r="L524" s="48" t="str">
        <f>IF(AND(Creditos!$C$14&lt;&gt;"",Creditos!$M$14="OK",39&lt;=Creditos!$H$14),I524+K524,"")</f>
        <v/>
      </c>
      <c r="M524" s="48" t="str">
        <f>IF(AND(Creditos!$C$14&lt;&gt;"",Creditos!$M$14="OK",39&lt;=Creditos!$H$14),MAX(0,F524-J524),"")</f>
        <v/>
      </c>
      <c r="N524" s="48" t="str">
        <f>IF(AND(Creditos!$C$14&lt;&gt;"",Creditos!$M$14="OK",39&lt;=Creditos!$H$14),SUMIFS(Pagos!$F$6:$F$305,Pagos!$C$6:$C$305,C524,Pagos!$D$6:$D$305,D524,Pagos!$E$6:$E$305,"&lt;="&amp;Supuestos!$D$6,Pagos!$H$6:$H$305,"OK"),"")</f>
        <v/>
      </c>
      <c r="O524" s="48" t="str">
        <f>IF(AND(Creditos!$C$14&lt;&gt;"",Creditos!$M$14="OK",39&lt;=Creditos!$H$14),MIN(J524,MAX(0,N524-K524-H524)),"")</f>
        <v/>
      </c>
      <c r="P524" s="48" t="str">
        <f>IF(AND(Creditos!$C$14&lt;&gt;"",Creditos!$M$14="OK",39&lt;=Creditos!$H$14),MAX(0,L524-N524),"")</f>
        <v/>
      </c>
      <c r="Q524" s="50" t="str">
        <f>IF(AND(Creditos!$C$14&lt;&gt;"",Creditos!$M$14="OK",39&lt;=Creditos!$H$14),IF(AND(E524&lt;Supuestos!$D$6,P524&gt;0.005),Supuestos!$D$6-E524,0),"")</f>
        <v/>
      </c>
      <c r="R524" s="48" t="str">
        <f>IF(AND(Creditos!$C$14&lt;&gt;"",Creditos!$M$14="OK",39&lt;=Creditos!$H$14),MAX(0,N524-L524),"")</f>
        <v/>
      </c>
      <c r="S524" s="46" t="str">
        <f>IF(AND(Creditos!$C$14&lt;&gt;"",Creditos!$M$14="OK",39&lt;=Creditos!$H$14),IF(R524&gt;0.005,"Exceso sin imputar",IF(P524&lt;=0.005,"Pagada",IF(E524&lt;Supuestos!$D$6,"Vencida",IF(E524=Supuestos!$D$6,"Vence hoy","Por vencer")))),"")</f>
        <v/>
      </c>
      <c r="T524" s="46">
        <f>IF(AND(Creditos!$C$14&lt;&gt;"",Creditos!$M$14="OK",39&lt;=Creditos!$H$14),IF(P524&gt;0.005,E524,999999),999999)</f>
        <v>999999</v>
      </c>
    </row>
    <row r="525" ht="25.5" customHeight="1">
      <c r="C525" s="46" t="str">
        <f>IF(AND(Creditos!$C$14&lt;&gt;"",Creditos!$M$14="OK",40&lt;=Creditos!$H$14),Creditos!$C$14,"")</f>
        <v/>
      </c>
      <c r="D525" s="46" t="str">
        <f>IF(AND(Creditos!$C$14&lt;&gt;"",Creditos!$M$14="OK",40&lt;=Creditos!$H$14),40,"")</f>
        <v/>
      </c>
      <c r="E525" s="47" t="str">
        <f>IF(AND(Creditos!$C$14&lt;&gt;"",Creditos!$M$14="OK",40&lt;=Creditos!$H$14),EDATE(Creditos!$I$14,39),"")</f>
        <v/>
      </c>
      <c r="F525" s="48" t="str">
        <f>IF(AND(Creditos!$C$14&lt;&gt;"",Creditos!$M$14="OK",40&lt;=Creditos!$H$14),M524,"")</f>
        <v/>
      </c>
      <c r="G525" s="49" t="str">
        <f>IF(AND(Creditos!$C$14&lt;&gt;"",Creditos!$M$14="OK",40&lt;=Creditos!$H$14),Creditos!$N$14,"")</f>
        <v/>
      </c>
      <c r="H525" s="48" t="str">
        <f>IF(AND(Creditos!$C$14&lt;&gt;"",Creditos!$M$14="OK",40&lt;=Creditos!$H$14),ROUND(F525*G525,2),"")</f>
        <v/>
      </c>
      <c r="I525" s="48" t="str">
        <f>IF(AND(Creditos!$C$14&lt;&gt;"",Creditos!$M$14="OK",40&lt;=Creditos!$H$14),IF(40=Creditos!$H$14,F525+H525,MIN(Creditos!$O$14,F525+H525)),"")</f>
        <v/>
      </c>
      <c r="J525" s="48" t="str">
        <f>IF(AND(Creditos!$C$14&lt;&gt;"",Creditos!$M$14="OK",40&lt;=Creditos!$H$14),MIN(F525,MAX(0,I525-H525)),"")</f>
        <v/>
      </c>
      <c r="K525" s="48" t="str">
        <f>IF(AND(Creditos!$C$14&lt;&gt;"",Creditos!$M$14="OK",40&lt;=Creditos!$H$14),Creditos!$J$14+Creditos!$K$14,"")</f>
        <v/>
      </c>
      <c r="L525" s="48" t="str">
        <f>IF(AND(Creditos!$C$14&lt;&gt;"",Creditos!$M$14="OK",40&lt;=Creditos!$H$14),I525+K525,"")</f>
        <v/>
      </c>
      <c r="M525" s="48" t="str">
        <f>IF(AND(Creditos!$C$14&lt;&gt;"",Creditos!$M$14="OK",40&lt;=Creditos!$H$14),MAX(0,F525-J525),"")</f>
        <v/>
      </c>
      <c r="N525" s="48" t="str">
        <f>IF(AND(Creditos!$C$14&lt;&gt;"",Creditos!$M$14="OK",40&lt;=Creditos!$H$14),SUMIFS(Pagos!$F$6:$F$305,Pagos!$C$6:$C$305,C525,Pagos!$D$6:$D$305,D525,Pagos!$E$6:$E$305,"&lt;="&amp;Supuestos!$D$6,Pagos!$H$6:$H$305,"OK"),"")</f>
        <v/>
      </c>
      <c r="O525" s="48" t="str">
        <f>IF(AND(Creditos!$C$14&lt;&gt;"",Creditos!$M$14="OK",40&lt;=Creditos!$H$14),MIN(J525,MAX(0,N525-K525-H525)),"")</f>
        <v/>
      </c>
      <c r="P525" s="48" t="str">
        <f>IF(AND(Creditos!$C$14&lt;&gt;"",Creditos!$M$14="OK",40&lt;=Creditos!$H$14),MAX(0,L525-N525),"")</f>
        <v/>
      </c>
      <c r="Q525" s="50" t="str">
        <f>IF(AND(Creditos!$C$14&lt;&gt;"",Creditos!$M$14="OK",40&lt;=Creditos!$H$14),IF(AND(E525&lt;Supuestos!$D$6,P525&gt;0.005),Supuestos!$D$6-E525,0),"")</f>
        <v/>
      </c>
      <c r="R525" s="48" t="str">
        <f>IF(AND(Creditos!$C$14&lt;&gt;"",Creditos!$M$14="OK",40&lt;=Creditos!$H$14),MAX(0,N525-L525),"")</f>
        <v/>
      </c>
      <c r="S525" s="46" t="str">
        <f>IF(AND(Creditos!$C$14&lt;&gt;"",Creditos!$M$14="OK",40&lt;=Creditos!$H$14),IF(R525&gt;0.005,"Exceso sin imputar",IF(P525&lt;=0.005,"Pagada",IF(E525&lt;Supuestos!$D$6,"Vencida",IF(E525=Supuestos!$D$6,"Vence hoy","Por vencer")))),"")</f>
        <v/>
      </c>
      <c r="T525" s="46">
        <f>IF(AND(Creditos!$C$14&lt;&gt;"",Creditos!$M$14="OK",40&lt;=Creditos!$H$14),IF(P525&gt;0.005,E525,999999),999999)</f>
        <v>999999</v>
      </c>
    </row>
    <row r="526" ht="25.5" customHeight="1">
      <c r="C526" s="46" t="str">
        <f>IF(AND(Creditos!$C$14&lt;&gt;"",Creditos!$M$14="OK",41&lt;=Creditos!$H$14),Creditos!$C$14,"")</f>
        <v/>
      </c>
      <c r="D526" s="46" t="str">
        <f>IF(AND(Creditos!$C$14&lt;&gt;"",Creditos!$M$14="OK",41&lt;=Creditos!$H$14),41,"")</f>
        <v/>
      </c>
      <c r="E526" s="47" t="str">
        <f>IF(AND(Creditos!$C$14&lt;&gt;"",Creditos!$M$14="OK",41&lt;=Creditos!$H$14),EDATE(Creditos!$I$14,40),"")</f>
        <v/>
      </c>
      <c r="F526" s="48" t="str">
        <f>IF(AND(Creditos!$C$14&lt;&gt;"",Creditos!$M$14="OK",41&lt;=Creditos!$H$14),M525,"")</f>
        <v/>
      </c>
      <c r="G526" s="49" t="str">
        <f>IF(AND(Creditos!$C$14&lt;&gt;"",Creditos!$M$14="OK",41&lt;=Creditos!$H$14),Creditos!$N$14,"")</f>
        <v/>
      </c>
      <c r="H526" s="48" t="str">
        <f>IF(AND(Creditos!$C$14&lt;&gt;"",Creditos!$M$14="OK",41&lt;=Creditos!$H$14),ROUND(F526*G526,2),"")</f>
        <v/>
      </c>
      <c r="I526" s="48" t="str">
        <f>IF(AND(Creditos!$C$14&lt;&gt;"",Creditos!$M$14="OK",41&lt;=Creditos!$H$14),IF(41=Creditos!$H$14,F526+H526,MIN(Creditos!$O$14,F526+H526)),"")</f>
        <v/>
      </c>
      <c r="J526" s="48" t="str">
        <f>IF(AND(Creditos!$C$14&lt;&gt;"",Creditos!$M$14="OK",41&lt;=Creditos!$H$14),MIN(F526,MAX(0,I526-H526)),"")</f>
        <v/>
      </c>
      <c r="K526" s="48" t="str">
        <f>IF(AND(Creditos!$C$14&lt;&gt;"",Creditos!$M$14="OK",41&lt;=Creditos!$H$14),Creditos!$J$14+Creditos!$K$14,"")</f>
        <v/>
      </c>
      <c r="L526" s="48" t="str">
        <f>IF(AND(Creditos!$C$14&lt;&gt;"",Creditos!$M$14="OK",41&lt;=Creditos!$H$14),I526+K526,"")</f>
        <v/>
      </c>
      <c r="M526" s="48" t="str">
        <f>IF(AND(Creditos!$C$14&lt;&gt;"",Creditos!$M$14="OK",41&lt;=Creditos!$H$14),MAX(0,F526-J526),"")</f>
        <v/>
      </c>
      <c r="N526" s="48" t="str">
        <f>IF(AND(Creditos!$C$14&lt;&gt;"",Creditos!$M$14="OK",41&lt;=Creditos!$H$14),SUMIFS(Pagos!$F$6:$F$305,Pagos!$C$6:$C$305,C526,Pagos!$D$6:$D$305,D526,Pagos!$E$6:$E$305,"&lt;="&amp;Supuestos!$D$6,Pagos!$H$6:$H$305,"OK"),"")</f>
        <v/>
      </c>
      <c r="O526" s="48" t="str">
        <f>IF(AND(Creditos!$C$14&lt;&gt;"",Creditos!$M$14="OK",41&lt;=Creditos!$H$14),MIN(J526,MAX(0,N526-K526-H526)),"")</f>
        <v/>
      </c>
      <c r="P526" s="48" t="str">
        <f>IF(AND(Creditos!$C$14&lt;&gt;"",Creditos!$M$14="OK",41&lt;=Creditos!$H$14),MAX(0,L526-N526),"")</f>
        <v/>
      </c>
      <c r="Q526" s="50" t="str">
        <f>IF(AND(Creditos!$C$14&lt;&gt;"",Creditos!$M$14="OK",41&lt;=Creditos!$H$14),IF(AND(E526&lt;Supuestos!$D$6,P526&gt;0.005),Supuestos!$D$6-E526,0),"")</f>
        <v/>
      </c>
      <c r="R526" s="48" t="str">
        <f>IF(AND(Creditos!$C$14&lt;&gt;"",Creditos!$M$14="OK",41&lt;=Creditos!$H$14),MAX(0,N526-L526),"")</f>
        <v/>
      </c>
      <c r="S526" s="46" t="str">
        <f>IF(AND(Creditos!$C$14&lt;&gt;"",Creditos!$M$14="OK",41&lt;=Creditos!$H$14),IF(R526&gt;0.005,"Exceso sin imputar",IF(P526&lt;=0.005,"Pagada",IF(E526&lt;Supuestos!$D$6,"Vencida",IF(E526=Supuestos!$D$6,"Vence hoy","Por vencer")))),"")</f>
        <v/>
      </c>
      <c r="T526" s="46">
        <f>IF(AND(Creditos!$C$14&lt;&gt;"",Creditos!$M$14="OK",41&lt;=Creditos!$H$14),IF(P526&gt;0.005,E526,999999),999999)</f>
        <v>999999</v>
      </c>
    </row>
    <row r="527" ht="25.5" customHeight="1">
      <c r="C527" s="46" t="str">
        <f>IF(AND(Creditos!$C$14&lt;&gt;"",Creditos!$M$14="OK",42&lt;=Creditos!$H$14),Creditos!$C$14,"")</f>
        <v/>
      </c>
      <c r="D527" s="46" t="str">
        <f>IF(AND(Creditos!$C$14&lt;&gt;"",Creditos!$M$14="OK",42&lt;=Creditos!$H$14),42,"")</f>
        <v/>
      </c>
      <c r="E527" s="47" t="str">
        <f>IF(AND(Creditos!$C$14&lt;&gt;"",Creditos!$M$14="OK",42&lt;=Creditos!$H$14),EDATE(Creditos!$I$14,41),"")</f>
        <v/>
      </c>
      <c r="F527" s="48" t="str">
        <f>IF(AND(Creditos!$C$14&lt;&gt;"",Creditos!$M$14="OK",42&lt;=Creditos!$H$14),M526,"")</f>
        <v/>
      </c>
      <c r="G527" s="49" t="str">
        <f>IF(AND(Creditos!$C$14&lt;&gt;"",Creditos!$M$14="OK",42&lt;=Creditos!$H$14),Creditos!$N$14,"")</f>
        <v/>
      </c>
      <c r="H527" s="48" t="str">
        <f>IF(AND(Creditos!$C$14&lt;&gt;"",Creditos!$M$14="OK",42&lt;=Creditos!$H$14),ROUND(F527*G527,2),"")</f>
        <v/>
      </c>
      <c r="I527" s="48" t="str">
        <f>IF(AND(Creditos!$C$14&lt;&gt;"",Creditos!$M$14="OK",42&lt;=Creditos!$H$14),IF(42=Creditos!$H$14,F527+H527,MIN(Creditos!$O$14,F527+H527)),"")</f>
        <v/>
      </c>
      <c r="J527" s="48" t="str">
        <f>IF(AND(Creditos!$C$14&lt;&gt;"",Creditos!$M$14="OK",42&lt;=Creditos!$H$14),MIN(F527,MAX(0,I527-H527)),"")</f>
        <v/>
      </c>
      <c r="K527" s="48" t="str">
        <f>IF(AND(Creditos!$C$14&lt;&gt;"",Creditos!$M$14="OK",42&lt;=Creditos!$H$14),Creditos!$J$14+Creditos!$K$14,"")</f>
        <v/>
      </c>
      <c r="L527" s="48" t="str">
        <f>IF(AND(Creditos!$C$14&lt;&gt;"",Creditos!$M$14="OK",42&lt;=Creditos!$H$14),I527+K527,"")</f>
        <v/>
      </c>
      <c r="M527" s="48" t="str">
        <f>IF(AND(Creditos!$C$14&lt;&gt;"",Creditos!$M$14="OK",42&lt;=Creditos!$H$14),MAX(0,F527-J527),"")</f>
        <v/>
      </c>
      <c r="N527" s="48" t="str">
        <f>IF(AND(Creditos!$C$14&lt;&gt;"",Creditos!$M$14="OK",42&lt;=Creditos!$H$14),SUMIFS(Pagos!$F$6:$F$305,Pagos!$C$6:$C$305,C527,Pagos!$D$6:$D$305,D527,Pagos!$E$6:$E$305,"&lt;="&amp;Supuestos!$D$6,Pagos!$H$6:$H$305,"OK"),"")</f>
        <v/>
      </c>
      <c r="O527" s="48" t="str">
        <f>IF(AND(Creditos!$C$14&lt;&gt;"",Creditos!$M$14="OK",42&lt;=Creditos!$H$14),MIN(J527,MAX(0,N527-K527-H527)),"")</f>
        <v/>
      </c>
      <c r="P527" s="48" t="str">
        <f>IF(AND(Creditos!$C$14&lt;&gt;"",Creditos!$M$14="OK",42&lt;=Creditos!$H$14),MAX(0,L527-N527),"")</f>
        <v/>
      </c>
      <c r="Q527" s="50" t="str">
        <f>IF(AND(Creditos!$C$14&lt;&gt;"",Creditos!$M$14="OK",42&lt;=Creditos!$H$14),IF(AND(E527&lt;Supuestos!$D$6,P527&gt;0.005),Supuestos!$D$6-E527,0),"")</f>
        <v/>
      </c>
      <c r="R527" s="48" t="str">
        <f>IF(AND(Creditos!$C$14&lt;&gt;"",Creditos!$M$14="OK",42&lt;=Creditos!$H$14),MAX(0,N527-L527),"")</f>
        <v/>
      </c>
      <c r="S527" s="46" t="str">
        <f>IF(AND(Creditos!$C$14&lt;&gt;"",Creditos!$M$14="OK",42&lt;=Creditos!$H$14),IF(R527&gt;0.005,"Exceso sin imputar",IF(P527&lt;=0.005,"Pagada",IF(E527&lt;Supuestos!$D$6,"Vencida",IF(E527=Supuestos!$D$6,"Vence hoy","Por vencer")))),"")</f>
        <v/>
      </c>
      <c r="T527" s="46">
        <f>IF(AND(Creditos!$C$14&lt;&gt;"",Creditos!$M$14="OK",42&lt;=Creditos!$H$14),IF(P527&gt;0.005,E527,999999),999999)</f>
        <v>999999</v>
      </c>
    </row>
    <row r="528" ht="25.5" customHeight="1">
      <c r="C528" s="46" t="str">
        <f>IF(AND(Creditos!$C$14&lt;&gt;"",Creditos!$M$14="OK",43&lt;=Creditos!$H$14),Creditos!$C$14,"")</f>
        <v/>
      </c>
      <c r="D528" s="46" t="str">
        <f>IF(AND(Creditos!$C$14&lt;&gt;"",Creditos!$M$14="OK",43&lt;=Creditos!$H$14),43,"")</f>
        <v/>
      </c>
      <c r="E528" s="47" t="str">
        <f>IF(AND(Creditos!$C$14&lt;&gt;"",Creditos!$M$14="OK",43&lt;=Creditos!$H$14),EDATE(Creditos!$I$14,42),"")</f>
        <v/>
      </c>
      <c r="F528" s="48" t="str">
        <f>IF(AND(Creditos!$C$14&lt;&gt;"",Creditos!$M$14="OK",43&lt;=Creditos!$H$14),M527,"")</f>
        <v/>
      </c>
      <c r="G528" s="49" t="str">
        <f>IF(AND(Creditos!$C$14&lt;&gt;"",Creditos!$M$14="OK",43&lt;=Creditos!$H$14),Creditos!$N$14,"")</f>
        <v/>
      </c>
      <c r="H528" s="48" t="str">
        <f>IF(AND(Creditos!$C$14&lt;&gt;"",Creditos!$M$14="OK",43&lt;=Creditos!$H$14),ROUND(F528*G528,2),"")</f>
        <v/>
      </c>
      <c r="I528" s="48" t="str">
        <f>IF(AND(Creditos!$C$14&lt;&gt;"",Creditos!$M$14="OK",43&lt;=Creditos!$H$14),IF(43=Creditos!$H$14,F528+H528,MIN(Creditos!$O$14,F528+H528)),"")</f>
        <v/>
      </c>
      <c r="J528" s="48" t="str">
        <f>IF(AND(Creditos!$C$14&lt;&gt;"",Creditos!$M$14="OK",43&lt;=Creditos!$H$14),MIN(F528,MAX(0,I528-H528)),"")</f>
        <v/>
      </c>
      <c r="K528" s="48" t="str">
        <f>IF(AND(Creditos!$C$14&lt;&gt;"",Creditos!$M$14="OK",43&lt;=Creditos!$H$14),Creditos!$J$14+Creditos!$K$14,"")</f>
        <v/>
      </c>
      <c r="L528" s="48" t="str">
        <f>IF(AND(Creditos!$C$14&lt;&gt;"",Creditos!$M$14="OK",43&lt;=Creditos!$H$14),I528+K528,"")</f>
        <v/>
      </c>
      <c r="M528" s="48" t="str">
        <f>IF(AND(Creditos!$C$14&lt;&gt;"",Creditos!$M$14="OK",43&lt;=Creditos!$H$14),MAX(0,F528-J528),"")</f>
        <v/>
      </c>
      <c r="N528" s="48" t="str">
        <f>IF(AND(Creditos!$C$14&lt;&gt;"",Creditos!$M$14="OK",43&lt;=Creditos!$H$14),SUMIFS(Pagos!$F$6:$F$305,Pagos!$C$6:$C$305,C528,Pagos!$D$6:$D$305,D528,Pagos!$E$6:$E$305,"&lt;="&amp;Supuestos!$D$6,Pagos!$H$6:$H$305,"OK"),"")</f>
        <v/>
      </c>
      <c r="O528" s="48" t="str">
        <f>IF(AND(Creditos!$C$14&lt;&gt;"",Creditos!$M$14="OK",43&lt;=Creditos!$H$14),MIN(J528,MAX(0,N528-K528-H528)),"")</f>
        <v/>
      </c>
      <c r="P528" s="48" t="str">
        <f>IF(AND(Creditos!$C$14&lt;&gt;"",Creditos!$M$14="OK",43&lt;=Creditos!$H$14),MAX(0,L528-N528),"")</f>
        <v/>
      </c>
      <c r="Q528" s="50" t="str">
        <f>IF(AND(Creditos!$C$14&lt;&gt;"",Creditos!$M$14="OK",43&lt;=Creditos!$H$14),IF(AND(E528&lt;Supuestos!$D$6,P528&gt;0.005),Supuestos!$D$6-E528,0),"")</f>
        <v/>
      </c>
      <c r="R528" s="48" t="str">
        <f>IF(AND(Creditos!$C$14&lt;&gt;"",Creditos!$M$14="OK",43&lt;=Creditos!$H$14),MAX(0,N528-L528),"")</f>
        <v/>
      </c>
      <c r="S528" s="46" t="str">
        <f>IF(AND(Creditos!$C$14&lt;&gt;"",Creditos!$M$14="OK",43&lt;=Creditos!$H$14),IF(R528&gt;0.005,"Exceso sin imputar",IF(P528&lt;=0.005,"Pagada",IF(E528&lt;Supuestos!$D$6,"Vencida",IF(E528=Supuestos!$D$6,"Vence hoy","Por vencer")))),"")</f>
        <v/>
      </c>
      <c r="T528" s="46">
        <f>IF(AND(Creditos!$C$14&lt;&gt;"",Creditos!$M$14="OK",43&lt;=Creditos!$H$14),IF(P528&gt;0.005,E528,999999),999999)</f>
        <v>999999</v>
      </c>
    </row>
    <row r="529" ht="25.5" customHeight="1">
      <c r="C529" s="46" t="str">
        <f>IF(AND(Creditos!$C$14&lt;&gt;"",Creditos!$M$14="OK",44&lt;=Creditos!$H$14),Creditos!$C$14,"")</f>
        <v/>
      </c>
      <c r="D529" s="46" t="str">
        <f>IF(AND(Creditos!$C$14&lt;&gt;"",Creditos!$M$14="OK",44&lt;=Creditos!$H$14),44,"")</f>
        <v/>
      </c>
      <c r="E529" s="47" t="str">
        <f>IF(AND(Creditos!$C$14&lt;&gt;"",Creditos!$M$14="OK",44&lt;=Creditos!$H$14),EDATE(Creditos!$I$14,43),"")</f>
        <v/>
      </c>
      <c r="F529" s="48" t="str">
        <f>IF(AND(Creditos!$C$14&lt;&gt;"",Creditos!$M$14="OK",44&lt;=Creditos!$H$14),M528,"")</f>
        <v/>
      </c>
      <c r="G529" s="49" t="str">
        <f>IF(AND(Creditos!$C$14&lt;&gt;"",Creditos!$M$14="OK",44&lt;=Creditos!$H$14),Creditos!$N$14,"")</f>
        <v/>
      </c>
      <c r="H529" s="48" t="str">
        <f>IF(AND(Creditos!$C$14&lt;&gt;"",Creditos!$M$14="OK",44&lt;=Creditos!$H$14),ROUND(F529*G529,2),"")</f>
        <v/>
      </c>
      <c r="I529" s="48" t="str">
        <f>IF(AND(Creditos!$C$14&lt;&gt;"",Creditos!$M$14="OK",44&lt;=Creditos!$H$14),IF(44=Creditos!$H$14,F529+H529,MIN(Creditos!$O$14,F529+H529)),"")</f>
        <v/>
      </c>
      <c r="J529" s="48" t="str">
        <f>IF(AND(Creditos!$C$14&lt;&gt;"",Creditos!$M$14="OK",44&lt;=Creditos!$H$14),MIN(F529,MAX(0,I529-H529)),"")</f>
        <v/>
      </c>
      <c r="K529" s="48" t="str">
        <f>IF(AND(Creditos!$C$14&lt;&gt;"",Creditos!$M$14="OK",44&lt;=Creditos!$H$14),Creditos!$J$14+Creditos!$K$14,"")</f>
        <v/>
      </c>
      <c r="L529" s="48" t="str">
        <f>IF(AND(Creditos!$C$14&lt;&gt;"",Creditos!$M$14="OK",44&lt;=Creditos!$H$14),I529+K529,"")</f>
        <v/>
      </c>
      <c r="M529" s="48" t="str">
        <f>IF(AND(Creditos!$C$14&lt;&gt;"",Creditos!$M$14="OK",44&lt;=Creditos!$H$14),MAX(0,F529-J529),"")</f>
        <v/>
      </c>
      <c r="N529" s="48" t="str">
        <f>IF(AND(Creditos!$C$14&lt;&gt;"",Creditos!$M$14="OK",44&lt;=Creditos!$H$14),SUMIFS(Pagos!$F$6:$F$305,Pagos!$C$6:$C$305,C529,Pagos!$D$6:$D$305,D529,Pagos!$E$6:$E$305,"&lt;="&amp;Supuestos!$D$6,Pagos!$H$6:$H$305,"OK"),"")</f>
        <v/>
      </c>
      <c r="O529" s="48" t="str">
        <f>IF(AND(Creditos!$C$14&lt;&gt;"",Creditos!$M$14="OK",44&lt;=Creditos!$H$14),MIN(J529,MAX(0,N529-K529-H529)),"")</f>
        <v/>
      </c>
      <c r="P529" s="48" t="str">
        <f>IF(AND(Creditos!$C$14&lt;&gt;"",Creditos!$M$14="OK",44&lt;=Creditos!$H$14),MAX(0,L529-N529),"")</f>
        <v/>
      </c>
      <c r="Q529" s="50" t="str">
        <f>IF(AND(Creditos!$C$14&lt;&gt;"",Creditos!$M$14="OK",44&lt;=Creditos!$H$14),IF(AND(E529&lt;Supuestos!$D$6,P529&gt;0.005),Supuestos!$D$6-E529,0),"")</f>
        <v/>
      </c>
      <c r="R529" s="48" t="str">
        <f>IF(AND(Creditos!$C$14&lt;&gt;"",Creditos!$M$14="OK",44&lt;=Creditos!$H$14),MAX(0,N529-L529),"")</f>
        <v/>
      </c>
      <c r="S529" s="46" t="str">
        <f>IF(AND(Creditos!$C$14&lt;&gt;"",Creditos!$M$14="OK",44&lt;=Creditos!$H$14),IF(R529&gt;0.005,"Exceso sin imputar",IF(P529&lt;=0.005,"Pagada",IF(E529&lt;Supuestos!$D$6,"Vencida",IF(E529=Supuestos!$D$6,"Vence hoy","Por vencer")))),"")</f>
        <v/>
      </c>
      <c r="T529" s="46">
        <f>IF(AND(Creditos!$C$14&lt;&gt;"",Creditos!$M$14="OK",44&lt;=Creditos!$H$14),IF(P529&gt;0.005,E529,999999),999999)</f>
        <v>999999</v>
      </c>
    </row>
    <row r="530" ht="25.5" customHeight="1">
      <c r="C530" s="46" t="str">
        <f>IF(AND(Creditos!$C$14&lt;&gt;"",Creditos!$M$14="OK",45&lt;=Creditos!$H$14),Creditos!$C$14,"")</f>
        <v/>
      </c>
      <c r="D530" s="46" t="str">
        <f>IF(AND(Creditos!$C$14&lt;&gt;"",Creditos!$M$14="OK",45&lt;=Creditos!$H$14),45,"")</f>
        <v/>
      </c>
      <c r="E530" s="47" t="str">
        <f>IF(AND(Creditos!$C$14&lt;&gt;"",Creditos!$M$14="OK",45&lt;=Creditos!$H$14),EDATE(Creditos!$I$14,44),"")</f>
        <v/>
      </c>
      <c r="F530" s="48" t="str">
        <f>IF(AND(Creditos!$C$14&lt;&gt;"",Creditos!$M$14="OK",45&lt;=Creditos!$H$14),M529,"")</f>
        <v/>
      </c>
      <c r="G530" s="49" t="str">
        <f>IF(AND(Creditos!$C$14&lt;&gt;"",Creditos!$M$14="OK",45&lt;=Creditos!$H$14),Creditos!$N$14,"")</f>
        <v/>
      </c>
      <c r="H530" s="48" t="str">
        <f>IF(AND(Creditos!$C$14&lt;&gt;"",Creditos!$M$14="OK",45&lt;=Creditos!$H$14),ROUND(F530*G530,2),"")</f>
        <v/>
      </c>
      <c r="I530" s="48" t="str">
        <f>IF(AND(Creditos!$C$14&lt;&gt;"",Creditos!$M$14="OK",45&lt;=Creditos!$H$14),IF(45=Creditos!$H$14,F530+H530,MIN(Creditos!$O$14,F530+H530)),"")</f>
        <v/>
      </c>
      <c r="J530" s="48" t="str">
        <f>IF(AND(Creditos!$C$14&lt;&gt;"",Creditos!$M$14="OK",45&lt;=Creditos!$H$14),MIN(F530,MAX(0,I530-H530)),"")</f>
        <v/>
      </c>
      <c r="K530" s="48" t="str">
        <f>IF(AND(Creditos!$C$14&lt;&gt;"",Creditos!$M$14="OK",45&lt;=Creditos!$H$14),Creditos!$J$14+Creditos!$K$14,"")</f>
        <v/>
      </c>
      <c r="L530" s="48" t="str">
        <f>IF(AND(Creditos!$C$14&lt;&gt;"",Creditos!$M$14="OK",45&lt;=Creditos!$H$14),I530+K530,"")</f>
        <v/>
      </c>
      <c r="M530" s="48" t="str">
        <f>IF(AND(Creditos!$C$14&lt;&gt;"",Creditos!$M$14="OK",45&lt;=Creditos!$H$14),MAX(0,F530-J530),"")</f>
        <v/>
      </c>
      <c r="N530" s="48" t="str">
        <f>IF(AND(Creditos!$C$14&lt;&gt;"",Creditos!$M$14="OK",45&lt;=Creditos!$H$14),SUMIFS(Pagos!$F$6:$F$305,Pagos!$C$6:$C$305,C530,Pagos!$D$6:$D$305,D530,Pagos!$E$6:$E$305,"&lt;="&amp;Supuestos!$D$6,Pagos!$H$6:$H$305,"OK"),"")</f>
        <v/>
      </c>
      <c r="O530" s="48" t="str">
        <f>IF(AND(Creditos!$C$14&lt;&gt;"",Creditos!$M$14="OK",45&lt;=Creditos!$H$14),MIN(J530,MAX(0,N530-K530-H530)),"")</f>
        <v/>
      </c>
      <c r="P530" s="48" t="str">
        <f>IF(AND(Creditos!$C$14&lt;&gt;"",Creditos!$M$14="OK",45&lt;=Creditos!$H$14),MAX(0,L530-N530),"")</f>
        <v/>
      </c>
      <c r="Q530" s="50" t="str">
        <f>IF(AND(Creditos!$C$14&lt;&gt;"",Creditos!$M$14="OK",45&lt;=Creditos!$H$14),IF(AND(E530&lt;Supuestos!$D$6,P530&gt;0.005),Supuestos!$D$6-E530,0),"")</f>
        <v/>
      </c>
      <c r="R530" s="48" t="str">
        <f>IF(AND(Creditos!$C$14&lt;&gt;"",Creditos!$M$14="OK",45&lt;=Creditos!$H$14),MAX(0,N530-L530),"")</f>
        <v/>
      </c>
      <c r="S530" s="46" t="str">
        <f>IF(AND(Creditos!$C$14&lt;&gt;"",Creditos!$M$14="OK",45&lt;=Creditos!$H$14),IF(R530&gt;0.005,"Exceso sin imputar",IF(P530&lt;=0.005,"Pagada",IF(E530&lt;Supuestos!$D$6,"Vencida",IF(E530=Supuestos!$D$6,"Vence hoy","Por vencer")))),"")</f>
        <v/>
      </c>
      <c r="T530" s="46">
        <f>IF(AND(Creditos!$C$14&lt;&gt;"",Creditos!$M$14="OK",45&lt;=Creditos!$H$14),IF(P530&gt;0.005,E530,999999),999999)</f>
        <v>999999</v>
      </c>
    </row>
    <row r="531" ht="25.5" customHeight="1">
      <c r="C531" s="46" t="str">
        <f>IF(AND(Creditos!$C$14&lt;&gt;"",Creditos!$M$14="OK",46&lt;=Creditos!$H$14),Creditos!$C$14,"")</f>
        <v/>
      </c>
      <c r="D531" s="46" t="str">
        <f>IF(AND(Creditos!$C$14&lt;&gt;"",Creditos!$M$14="OK",46&lt;=Creditos!$H$14),46,"")</f>
        <v/>
      </c>
      <c r="E531" s="47" t="str">
        <f>IF(AND(Creditos!$C$14&lt;&gt;"",Creditos!$M$14="OK",46&lt;=Creditos!$H$14),EDATE(Creditos!$I$14,45),"")</f>
        <v/>
      </c>
      <c r="F531" s="48" t="str">
        <f>IF(AND(Creditos!$C$14&lt;&gt;"",Creditos!$M$14="OK",46&lt;=Creditos!$H$14),M530,"")</f>
        <v/>
      </c>
      <c r="G531" s="49" t="str">
        <f>IF(AND(Creditos!$C$14&lt;&gt;"",Creditos!$M$14="OK",46&lt;=Creditos!$H$14),Creditos!$N$14,"")</f>
        <v/>
      </c>
      <c r="H531" s="48" t="str">
        <f>IF(AND(Creditos!$C$14&lt;&gt;"",Creditos!$M$14="OK",46&lt;=Creditos!$H$14),ROUND(F531*G531,2),"")</f>
        <v/>
      </c>
      <c r="I531" s="48" t="str">
        <f>IF(AND(Creditos!$C$14&lt;&gt;"",Creditos!$M$14="OK",46&lt;=Creditos!$H$14),IF(46=Creditos!$H$14,F531+H531,MIN(Creditos!$O$14,F531+H531)),"")</f>
        <v/>
      </c>
      <c r="J531" s="48" t="str">
        <f>IF(AND(Creditos!$C$14&lt;&gt;"",Creditos!$M$14="OK",46&lt;=Creditos!$H$14),MIN(F531,MAX(0,I531-H531)),"")</f>
        <v/>
      </c>
      <c r="K531" s="48" t="str">
        <f>IF(AND(Creditos!$C$14&lt;&gt;"",Creditos!$M$14="OK",46&lt;=Creditos!$H$14),Creditos!$J$14+Creditos!$K$14,"")</f>
        <v/>
      </c>
      <c r="L531" s="48" t="str">
        <f>IF(AND(Creditos!$C$14&lt;&gt;"",Creditos!$M$14="OK",46&lt;=Creditos!$H$14),I531+K531,"")</f>
        <v/>
      </c>
      <c r="M531" s="48" t="str">
        <f>IF(AND(Creditos!$C$14&lt;&gt;"",Creditos!$M$14="OK",46&lt;=Creditos!$H$14),MAX(0,F531-J531),"")</f>
        <v/>
      </c>
      <c r="N531" s="48" t="str">
        <f>IF(AND(Creditos!$C$14&lt;&gt;"",Creditos!$M$14="OK",46&lt;=Creditos!$H$14),SUMIFS(Pagos!$F$6:$F$305,Pagos!$C$6:$C$305,C531,Pagos!$D$6:$D$305,D531,Pagos!$E$6:$E$305,"&lt;="&amp;Supuestos!$D$6,Pagos!$H$6:$H$305,"OK"),"")</f>
        <v/>
      </c>
      <c r="O531" s="48" t="str">
        <f>IF(AND(Creditos!$C$14&lt;&gt;"",Creditos!$M$14="OK",46&lt;=Creditos!$H$14),MIN(J531,MAX(0,N531-K531-H531)),"")</f>
        <v/>
      </c>
      <c r="P531" s="48" t="str">
        <f>IF(AND(Creditos!$C$14&lt;&gt;"",Creditos!$M$14="OK",46&lt;=Creditos!$H$14),MAX(0,L531-N531),"")</f>
        <v/>
      </c>
      <c r="Q531" s="50" t="str">
        <f>IF(AND(Creditos!$C$14&lt;&gt;"",Creditos!$M$14="OK",46&lt;=Creditos!$H$14),IF(AND(E531&lt;Supuestos!$D$6,P531&gt;0.005),Supuestos!$D$6-E531,0),"")</f>
        <v/>
      </c>
      <c r="R531" s="48" t="str">
        <f>IF(AND(Creditos!$C$14&lt;&gt;"",Creditos!$M$14="OK",46&lt;=Creditos!$H$14),MAX(0,N531-L531),"")</f>
        <v/>
      </c>
      <c r="S531" s="46" t="str">
        <f>IF(AND(Creditos!$C$14&lt;&gt;"",Creditos!$M$14="OK",46&lt;=Creditos!$H$14),IF(R531&gt;0.005,"Exceso sin imputar",IF(P531&lt;=0.005,"Pagada",IF(E531&lt;Supuestos!$D$6,"Vencida",IF(E531=Supuestos!$D$6,"Vence hoy","Por vencer")))),"")</f>
        <v/>
      </c>
      <c r="T531" s="46">
        <f>IF(AND(Creditos!$C$14&lt;&gt;"",Creditos!$M$14="OK",46&lt;=Creditos!$H$14),IF(P531&gt;0.005,E531,999999),999999)</f>
        <v>999999</v>
      </c>
    </row>
    <row r="532" ht="25.5" customHeight="1">
      <c r="C532" s="46" t="str">
        <f>IF(AND(Creditos!$C$14&lt;&gt;"",Creditos!$M$14="OK",47&lt;=Creditos!$H$14),Creditos!$C$14,"")</f>
        <v/>
      </c>
      <c r="D532" s="46" t="str">
        <f>IF(AND(Creditos!$C$14&lt;&gt;"",Creditos!$M$14="OK",47&lt;=Creditos!$H$14),47,"")</f>
        <v/>
      </c>
      <c r="E532" s="47" t="str">
        <f>IF(AND(Creditos!$C$14&lt;&gt;"",Creditos!$M$14="OK",47&lt;=Creditos!$H$14),EDATE(Creditos!$I$14,46),"")</f>
        <v/>
      </c>
      <c r="F532" s="48" t="str">
        <f>IF(AND(Creditos!$C$14&lt;&gt;"",Creditos!$M$14="OK",47&lt;=Creditos!$H$14),M531,"")</f>
        <v/>
      </c>
      <c r="G532" s="49" t="str">
        <f>IF(AND(Creditos!$C$14&lt;&gt;"",Creditos!$M$14="OK",47&lt;=Creditos!$H$14),Creditos!$N$14,"")</f>
        <v/>
      </c>
      <c r="H532" s="48" t="str">
        <f>IF(AND(Creditos!$C$14&lt;&gt;"",Creditos!$M$14="OK",47&lt;=Creditos!$H$14),ROUND(F532*G532,2),"")</f>
        <v/>
      </c>
      <c r="I532" s="48" t="str">
        <f>IF(AND(Creditos!$C$14&lt;&gt;"",Creditos!$M$14="OK",47&lt;=Creditos!$H$14),IF(47=Creditos!$H$14,F532+H532,MIN(Creditos!$O$14,F532+H532)),"")</f>
        <v/>
      </c>
      <c r="J532" s="48" t="str">
        <f>IF(AND(Creditos!$C$14&lt;&gt;"",Creditos!$M$14="OK",47&lt;=Creditos!$H$14),MIN(F532,MAX(0,I532-H532)),"")</f>
        <v/>
      </c>
      <c r="K532" s="48" t="str">
        <f>IF(AND(Creditos!$C$14&lt;&gt;"",Creditos!$M$14="OK",47&lt;=Creditos!$H$14),Creditos!$J$14+Creditos!$K$14,"")</f>
        <v/>
      </c>
      <c r="L532" s="48" t="str">
        <f>IF(AND(Creditos!$C$14&lt;&gt;"",Creditos!$M$14="OK",47&lt;=Creditos!$H$14),I532+K532,"")</f>
        <v/>
      </c>
      <c r="M532" s="48" t="str">
        <f>IF(AND(Creditos!$C$14&lt;&gt;"",Creditos!$M$14="OK",47&lt;=Creditos!$H$14),MAX(0,F532-J532),"")</f>
        <v/>
      </c>
      <c r="N532" s="48" t="str">
        <f>IF(AND(Creditos!$C$14&lt;&gt;"",Creditos!$M$14="OK",47&lt;=Creditos!$H$14),SUMIFS(Pagos!$F$6:$F$305,Pagos!$C$6:$C$305,C532,Pagos!$D$6:$D$305,D532,Pagos!$E$6:$E$305,"&lt;="&amp;Supuestos!$D$6,Pagos!$H$6:$H$305,"OK"),"")</f>
        <v/>
      </c>
      <c r="O532" s="48" t="str">
        <f>IF(AND(Creditos!$C$14&lt;&gt;"",Creditos!$M$14="OK",47&lt;=Creditos!$H$14),MIN(J532,MAX(0,N532-K532-H532)),"")</f>
        <v/>
      </c>
      <c r="P532" s="48" t="str">
        <f>IF(AND(Creditos!$C$14&lt;&gt;"",Creditos!$M$14="OK",47&lt;=Creditos!$H$14),MAX(0,L532-N532),"")</f>
        <v/>
      </c>
      <c r="Q532" s="50" t="str">
        <f>IF(AND(Creditos!$C$14&lt;&gt;"",Creditos!$M$14="OK",47&lt;=Creditos!$H$14),IF(AND(E532&lt;Supuestos!$D$6,P532&gt;0.005),Supuestos!$D$6-E532,0),"")</f>
        <v/>
      </c>
      <c r="R532" s="48" t="str">
        <f>IF(AND(Creditos!$C$14&lt;&gt;"",Creditos!$M$14="OK",47&lt;=Creditos!$H$14),MAX(0,N532-L532),"")</f>
        <v/>
      </c>
      <c r="S532" s="46" t="str">
        <f>IF(AND(Creditos!$C$14&lt;&gt;"",Creditos!$M$14="OK",47&lt;=Creditos!$H$14),IF(R532&gt;0.005,"Exceso sin imputar",IF(P532&lt;=0.005,"Pagada",IF(E532&lt;Supuestos!$D$6,"Vencida",IF(E532=Supuestos!$D$6,"Vence hoy","Por vencer")))),"")</f>
        <v/>
      </c>
      <c r="T532" s="46">
        <f>IF(AND(Creditos!$C$14&lt;&gt;"",Creditos!$M$14="OK",47&lt;=Creditos!$H$14),IF(P532&gt;0.005,E532,999999),999999)</f>
        <v>999999</v>
      </c>
    </row>
    <row r="533" ht="25.5" customHeight="1">
      <c r="C533" s="46" t="str">
        <f>IF(AND(Creditos!$C$14&lt;&gt;"",Creditos!$M$14="OK",48&lt;=Creditos!$H$14),Creditos!$C$14,"")</f>
        <v/>
      </c>
      <c r="D533" s="46" t="str">
        <f>IF(AND(Creditos!$C$14&lt;&gt;"",Creditos!$M$14="OK",48&lt;=Creditos!$H$14),48,"")</f>
        <v/>
      </c>
      <c r="E533" s="47" t="str">
        <f>IF(AND(Creditos!$C$14&lt;&gt;"",Creditos!$M$14="OK",48&lt;=Creditos!$H$14),EDATE(Creditos!$I$14,47),"")</f>
        <v/>
      </c>
      <c r="F533" s="48" t="str">
        <f>IF(AND(Creditos!$C$14&lt;&gt;"",Creditos!$M$14="OK",48&lt;=Creditos!$H$14),M532,"")</f>
        <v/>
      </c>
      <c r="G533" s="49" t="str">
        <f>IF(AND(Creditos!$C$14&lt;&gt;"",Creditos!$M$14="OK",48&lt;=Creditos!$H$14),Creditos!$N$14,"")</f>
        <v/>
      </c>
      <c r="H533" s="48" t="str">
        <f>IF(AND(Creditos!$C$14&lt;&gt;"",Creditos!$M$14="OK",48&lt;=Creditos!$H$14),ROUND(F533*G533,2),"")</f>
        <v/>
      </c>
      <c r="I533" s="48" t="str">
        <f>IF(AND(Creditos!$C$14&lt;&gt;"",Creditos!$M$14="OK",48&lt;=Creditos!$H$14),IF(48=Creditos!$H$14,F533+H533,MIN(Creditos!$O$14,F533+H533)),"")</f>
        <v/>
      </c>
      <c r="J533" s="48" t="str">
        <f>IF(AND(Creditos!$C$14&lt;&gt;"",Creditos!$M$14="OK",48&lt;=Creditos!$H$14),MIN(F533,MAX(0,I533-H533)),"")</f>
        <v/>
      </c>
      <c r="K533" s="48" t="str">
        <f>IF(AND(Creditos!$C$14&lt;&gt;"",Creditos!$M$14="OK",48&lt;=Creditos!$H$14),Creditos!$J$14+Creditos!$K$14,"")</f>
        <v/>
      </c>
      <c r="L533" s="48" t="str">
        <f>IF(AND(Creditos!$C$14&lt;&gt;"",Creditos!$M$14="OK",48&lt;=Creditos!$H$14),I533+K533,"")</f>
        <v/>
      </c>
      <c r="M533" s="48" t="str">
        <f>IF(AND(Creditos!$C$14&lt;&gt;"",Creditos!$M$14="OK",48&lt;=Creditos!$H$14),MAX(0,F533-J533),"")</f>
        <v/>
      </c>
      <c r="N533" s="48" t="str">
        <f>IF(AND(Creditos!$C$14&lt;&gt;"",Creditos!$M$14="OK",48&lt;=Creditos!$H$14),SUMIFS(Pagos!$F$6:$F$305,Pagos!$C$6:$C$305,C533,Pagos!$D$6:$D$305,D533,Pagos!$E$6:$E$305,"&lt;="&amp;Supuestos!$D$6,Pagos!$H$6:$H$305,"OK"),"")</f>
        <v/>
      </c>
      <c r="O533" s="48" t="str">
        <f>IF(AND(Creditos!$C$14&lt;&gt;"",Creditos!$M$14="OK",48&lt;=Creditos!$H$14),MIN(J533,MAX(0,N533-K533-H533)),"")</f>
        <v/>
      </c>
      <c r="P533" s="48" t="str">
        <f>IF(AND(Creditos!$C$14&lt;&gt;"",Creditos!$M$14="OK",48&lt;=Creditos!$H$14),MAX(0,L533-N533),"")</f>
        <v/>
      </c>
      <c r="Q533" s="50" t="str">
        <f>IF(AND(Creditos!$C$14&lt;&gt;"",Creditos!$M$14="OK",48&lt;=Creditos!$H$14),IF(AND(E533&lt;Supuestos!$D$6,P533&gt;0.005),Supuestos!$D$6-E533,0),"")</f>
        <v/>
      </c>
      <c r="R533" s="48" t="str">
        <f>IF(AND(Creditos!$C$14&lt;&gt;"",Creditos!$M$14="OK",48&lt;=Creditos!$H$14),MAX(0,N533-L533),"")</f>
        <v/>
      </c>
      <c r="S533" s="46" t="str">
        <f>IF(AND(Creditos!$C$14&lt;&gt;"",Creditos!$M$14="OK",48&lt;=Creditos!$H$14),IF(R533&gt;0.005,"Exceso sin imputar",IF(P533&lt;=0.005,"Pagada",IF(E533&lt;Supuestos!$D$6,"Vencida",IF(E533=Supuestos!$D$6,"Vence hoy","Por vencer")))),"")</f>
        <v/>
      </c>
      <c r="T533" s="46">
        <f>IF(AND(Creditos!$C$14&lt;&gt;"",Creditos!$M$14="OK",48&lt;=Creditos!$H$14),IF(P533&gt;0.005,E533,999999),999999)</f>
        <v>999999</v>
      </c>
    </row>
    <row r="534" ht="25.5" customHeight="1">
      <c r="C534" s="46" t="str">
        <f>IF(AND(Creditos!$C$14&lt;&gt;"",Creditos!$M$14="OK",49&lt;=Creditos!$H$14),Creditos!$C$14,"")</f>
        <v/>
      </c>
      <c r="D534" s="46" t="str">
        <f>IF(AND(Creditos!$C$14&lt;&gt;"",Creditos!$M$14="OK",49&lt;=Creditos!$H$14),49,"")</f>
        <v/>
      </c>
      <c r="E534" s="47" t="str">
        <f>IF(AND(Creditos!$C$14&lt;&gt;"",Creditos!$M$14="OK",49&lt;=Creditos!$H$14),EDATE(Creditos!$I$14,48),"")</f>
        <v/>
      </c>
      <c r="F534" s="48" t="str">
        <f>IF(AND(Creditos!$C$14&lt;&gt;"",Creditos!$M$14="OK",49&lt;=Creditos!$H$14),M533,"")</f>
        <v/>
      </c>
      <c r="G534" s="49" t="str">
        <f>IF(AND(Creditos!$C$14&lt;&gt;"",Creditos!$M$14="OK",49&lt;=Creditos!$H$14),Creditos!$N$14,"")</f>
        <v/>
      </c>
      <c r="H534" s="48" t="str">
        <f>IF(AND(Creditos!$C$14&lt;&gt;"",Creditos!$M$14="OK",49&lt;=Creditos!$H$14),ROUND(F534*G534,2),"")</f>
        <v/>
      </c>
      <c r="I534" s="48" t="str">
        <f>IF(AND(Creditos!$C$14&lt;&gt;"",Creditos!$M$14="OK",49&lt;=Creditos!$H$14),IF(49=Creditos!$H$14,F534+H534,MIN(Creditos!$O$14,F534+H534)),"")</f>
        <v/>
      </c>
      <c r="J534" s="48" t="str">
        <f>IF(AND(Creditos!$C$14&lt;&gt;"",Creditos!$M$14="OK",49&lt;=Creditos!$H$14),MIN(F534,MAX(0,I534-H534)),"")</f>
        <v/>
      </c>
      <c r="K534" s="48" t="str">
        <f>IF(AND(Creditos!$C$14&lt;&gt;"",Creditos!$M$14="OK",49&lt;=Creditos!$H$14),Creditos!$J$14+Creditos!$K$14,"")</f>
        <v/>
      </c>
      <c r="L534" s="48" t="str">
        <f>IF(AND(Creditos!$C$14&lt;&gt;"",Creditos!$M$14="OK",49&lt;=Creditos!$H$14),I534+K534,"")</f>
        <v/>
      </c>
      <c r="M534" s="48" t="str">
        <f>IF(AND(Creditos!$C$14&lt;&gt;"",Creditos!$M$14="OK",49&lt;=Creditos!$H$14),MAX(0,F534-J534),"")</f>
        <v/>
      </c>
      <c r="N534" s="48" t="str">
        <f>IF(AND(Creditos!$C$14&lt;&gt;"",Creditos!$M$14="OK",49&lt;=Creditos!$H$14),SUMIFS(Pagos!$F$6:$F$305,Pagos!$C$6:$C$305,C534,Pagos!$D$6:$D$305,D534,Pagos!$E$6:$E$305,"&lt;="&amp;Supuestos!$D$6,Pagos!$H$6:$H$305,"OK"),"")</f>
        <v/>
      </c>
      <c r="O534" s="48" t="str">
        <f>IF(AND(Creditos!$C$14&lt;&gt;"",Creditos!$M$14="OK",49&lt;=Creditos!$H$14),MIN(J534,MAX(0,N534-K534-H534)),"")</f>
        <v/>
      </c>
      <c r="P534" s="48" t="str">
        <f>IF(AND(Creditos!$C$14&lt;&gt;"",Creditos!$M$14="OK",49&lt;=Creditos!$H$14),MAX(0,L534-N534),"")</f>
        <v/>
      </c>
      <c r="Q534" s="50" t="str">
        <f>IF(AND(Creditos!$C$14&lt;&gt;"",Creditos!$M$14="OK",49&lt;=Creditos!$H$14),IF(AND(E534&lt;Supuestos!$D$6,P534&gt;0.005),Supuestos!$D$6-E534,0),"")</f>
        <v/>
      </c>
      <c r="R534" s="48" t="str">
        <f>IF(AND(Creditos!$C$14&lt;&gt;"",Creditos!$M$14="OK",49&lt;=Creditos!$H$14),MAX(0,N534-L534),"")</f>
        <v/>
      </c>
      <c r="S534" s="46" t="str">
        <f>IF(AND(Creditos!$C$14&lt;&gt;"",Creditos!$M$14="OK",49&lt;=Creditos!$H$14),IF(R534&gt;0.005,"Exceso sin imputar",IF(P534&lt;=0.005,"Pagada",IF(E534&lt;Supuestos!$D$6,"Vencida",IF(E534=Supuestos!$D$6,"Vence hoy","Por vencer")))),"")</f>
        <v/>
      </c>
      <c r="T534" s="46">
        <f>IF(AND(Creditos!$C$14&lt;&gt;"",Creditos!$M$14="OK",49&lt;=Creditos!$H$14),IF(P534&gt;0.005,E534,999999),999999)</f>
        <v>999999</v>
      </c>
    </row>
    <row r="535" ht="25.5" customHeight="1">
      <c r="C535" s="46" t="str">
        <f>IF(AND(Creditos!$C$14&lt;&gt;"",Creditos!$M$14="OK",50&lt;=Creditos!$H$14),Creditos!$C$14,"")</f>
        <v/>
      </c>
      <c r="D535" s="46" t="str">
        <f>IF(AND(Creditos!$C$14&lt;&gt;"",Creditos!$M$14="OK",50&lt;=Creditos!$H$14),50,"")</f>
        <v/>
      </c>
      <c r="E535" s="47" t="str">
        <f>IF(AND(Creditos!$C$14&lt;&gt;"",Creditos!$M$14="OK",50&lt;=Creditos!$H$14),EDATE(Creditos!$I$14,49),"")</f>
        <v/>
      </c>
      <c r="F535" s="48" t="str">
        <f>IF(AND(Creditos!$C$14&lt;&gt;"",Creditos!$M$14="OK",50&lt;=Creditos!$H$14),M534,"")</f>
        <v/>
      </c>
      <c r="G535" s="49" t="str">
        <f>IF(AND(Creditos!$C$14&lt;&gt;"",Creditos!$M$14="OK",50&lt;=Creditos!$H$14),Creditos!$N$14,"")</f>
        <v/>
      </c>
      <c r="H535" s="48" t="str">
        <f>IF(AND(Creditos!$C$14&lt;&gt;"",Creditos!$M$14="OK",50&lt;=Creditos!$H$14),ROUND(F535*G535,2),"")</f>
        <v/>
      </c>
      <c r="I535" s="48" t="str">
        <f>IF(AND(Creditos!$C$14&lt;&gt;"",Creditos!$M$14="OK",50&lt;=Creditos!$H$14),IF(50=Creditos!$H$14,F535+H535,MIN(Creditos!$O$14,F535+H535)),"")</f>
        <v/>
      </c>
      <c r="J535" s="48" t="str">
        <f>IF(AND(Creditos!$C$14&lt;&gt;"",Creditos!$M$14="OK",50&lt;=Creditos!$H$14),MIN(F535,MAX(0,I535-H535)),"")</f>
        <v/>
      </c>
      <c r="K535" s="48" t="str">
        <f>IF(AND(Creditos!$C$14&lt;&gt;"",Creditos!$M$14="OK",50&lt;=Creditos!$H$14),Creditos!$J$14+Creditos!$K$14,"")</f>
        <v/>
      </c>
      <c r="L535" s="48" t="str">
        <f>IF(AND(Creditos!$C$14&lt;&gt;"",Creditos!$M$14="OK",50&lt;=Creditos!$H$14),I535+K535,"")</f>
        <v/>
      </c>
      <c r="M535" s="48" t="str">
        <f>IF(AND(Creditos!$C$14&lt;&gt;"",Creditos!$M$14="OK",50&lt;=Creditos!$H$14),MAX(0,F535-J535),"")</f>
        <v/>
      </c>
      <c r="N535" s="48" t="str">
        <f>IF(AND(Creditos!$C$14&lt;&gt;"",Creditos!$M$14="OK",50&lt;=Creditos!$H$14),SUMIFS(Pagos!$F$6:$F$305,Pagos!$C$6:$C$305,C535,Pagos!$D$6:$D$305,D535,Pagos!$E$6:$E$305,"&lt;="&amp;Supuestos!$D$6,Pagos!$H$6:$H$305,"OK"),"")</f>
        <v/>
      </c>
      <c r="O535" s="48" t="str">
        <f>IF(AND(Creditos!$C$14&lt;&gt;"",Creditos!$M$14="OK",50&lt;=Creditos!$H$14),MIN(J535,MAX(0,N535-K535-H535)),"")</f>
        <v/>
      </c>
      <c r="P535" s="48" t="str">
        <f>IF(AND(Creditos!$C$14&lt;&gt;"",Creditos!$M$14="OK",50&lt;=Creditos!$H$14),MAX(0,L535-N535),"")</f>
        <v/>
      </c>
      <c r="Q535" s="50" t="str">
        <f>IF(AND(Creditos!$C$14&lt;&gt;"",Creditos!$M$14="OK",50&lt;=Creditos!$H$14),IF(AND(E535&lt;Supuestos!$D$6,P535&gt;0.005),Supuestos!$D$6-E535,0),"")</f>
        <v/>
      </c>
      <c r="R535" s="48" t="str">
        <f>IF(AND(Creditos!$C$14&lt;&gt;"",Creditos!$M$14="OK",50&lt;=Creditos!$H$14),MAX(0,N535-L535),"")</f>
        <v/>
      </c>
      <c r="S535" s="46" t="str">
        <f>IF(AND(Creditos!$C$14&lt;&gt;"",Creditos!$M$14="OK",50&lt;=Creditos!$H$14),IF(R535&gt;0.005,"Exceso sin imputar",IF(P535&lt;=0.005,"Pagada",IF(E535&lt;Supuestos!$D$6,"Vencida",IF(E535=Supuestos!$D$6,"Vence hoy","Por vencer")))),"")</f>
        <v/>
      </c>
      <c r="T535" s="46">
        <f>IF(AND(Creditos!$C$14&lt;&gt;"",Creditos!$M$14="OK",50&lt;=Creditos!$H$14),IF(P535&gt;0.005,E535,999999),999999)</f>
        <v>999999</v>
      </c>
    </row>
    <row r="536" ht="25.5" customHeight="1">
      <c r="C536" s="46" t="str">
        <f>IF(AND(Creditos!$C$14&lt;&gt;"",Creditos!$M$14="OK",51&lt;=Creditos!$H$14),Creditos!$C$14,"")</f>
        <v/>
      </c>
      <c r="D536" s="46" t="str">
        <f>IF(AND(Creditos!$C$14&lt;&gt;"",Creditos!$M$14="OK",51&lt;=Creditos!$H$14),51,"")</f>
        <v/>
      </c>
      <c r="E536" s="47" t="str">
        <f>IF(AND(Creditos!$C$14&lt;&gt;"",Creditos!$M$14="OK",51&lt;=Creditos!$H$14),EDATE(Creditos!$I$14,50),"")</f>
        <v/>
      </c>
      <c r="F536" s="48" t="str">
        <f>IF(AND(Creditos!$C$14&lt;&gt;"",Creditos!$M$14="OK",51&lt;=Creditos!$H$14),M535,"")</f>
        <v/>
      </c>
      <c r="G536" s="49" t="str">
        <f>IF(AND(Creditos!$C$14&lt;&gt;"",Creditos!$M$14="OK",51&lt;=Creditos!$H$14),Creditos!$N$14,"")</f>
        <v/>
      </c>
      <c r="H536" s="48" t="str">
        <f>IF(AND(Creditos!$C$14&lt;&gt;"",Creditos!$M$14="OK",51&lt;=Creditos!$H$14),ROUND(F536*G536,2),"")</f>
        <v/>
      </c>
      <c r="I536" s="48" t="str">
        <f>IF(AND(Creditos!$C$14&lt;&gt;"",Creditos!$M$14="OK",51&lt;=Creditos!$H$14),IF(51=Creditos!$H$14,F536+H536,MIN(Creditos!$O$14,F536+H536)),"")</f>
        <v/>
      </c>
      <c r="J536" s="48" t="str">
        <f>IF(AND(Creditos!$C$14&lt;&gt;"",Creditos!$M$14="OK",51&lt;=Creditos!$H$14),MIN(F536,MAX(0,I536-H536)),"")</f>
        <v/>
      </c>
      <c r="K536" s="48" t="str">
        <f>IF(AND(Creditos!$C$14&lt;&gt;"",Creditos!$M$14="OK",51&lt;=Creditos!$H$14),Creditos!$J$14+Creditos!$K$14,"")</f>
        <v/>
      </c>
      <c r="L536" s="48" t="str">
        <f>IF(AND(Creditos!$C$14&lt;&gt;"",Creditos!$M$14="OK",51&lt;=Creditos!$H$14),I536+K536,"")</f>
        <v/>
      </c>
      <c r="M536" s="48" t="str">
        <f>IF(AND(Creditos!$C$14&lt;&gt;"",Creditos!$M$14="OK",51&lt;=Creditos!$H$14),MAX(0,F536-J536),"")</f>
        <v/>
      </c>
      <c r="N536" s="48" t="str">
        <f>IF(AND(Creditos!$C$14&lt;&gt;"",Creditos!$M$14="OK",51&lt;=Creditos!$H$14),SUMIFS(Pagos!$F$6:$F$305,Pagos!$C$6:$C$305,C536,Pagos!$D$6:$D$305,D536,Pagos!$E$6:$E$305,"&lt;="&amp;Supuestos!$D$6,Pagos!$H$6:$H$305,"OK"),"")</f>
        <v/>
      </c>
      <c r="O536" s="48" t="str">
        <f>IF(AND(Creditos!$C$14&lt;&gt;"",Creditos!$M$14="OK",51&lt;=Creditos!$H$14),MIN(J536,MAX(0,N536-K536-H536)),"")</f>
        <v/>
      </c>
      <c r="P536" s="48" t="str">
        <f>IF(AND(Creditos!$C$14&lt;&gt;"",Creditos!$M$14="OK",51&lt;=Creditos!$H$14),MAX(0,L536-N536),"")</f>
        <v/>
      </c>
      <c r="Q536" s="50" t="str">
        <f>IF(AND(Creditos!$C$14&lt;&gt;"",Creditos!$M$14="OK",51&lt;=Creditos!$H$14),IF(AND(E536&lt;Supuestos!$D$6,P536&gt;0.005),Supuestos!$D$6-E536,0),"")</f>
        <v/>
      </c>
      <c r="R536" s="48" t="str">
        <f>IF(AND(Creditos!$C$14&lt;&gt;"",Creditos!$M$14="OK",51&lt;=Creditos!$H$14),MAX(0,N536-L536),"")</f>
        <v/>
      </c>
      <c r="S536" s="46" t="str">
        <f>IF(AND(Creditos!$C$14&lt;&gt;"",Creditos!$M$14="OK",51&lt;=Creditos!$H$14),IF(R536&gt;0.005,"Exceso sin imputar",IF(P536&lt;=0.005,"Pagada",IF(E536&lt;Supuestos!$D$6,"Vencida",IF(E536=Supuestos!$D$6,"Vence hoy","Por vencer")))),"")</f>
        <v/>
      </c>
      <c r="T536" s="46">
        <f>IF(AND(Creditos!$C$14&lt;&gt;"",Creditos!$M$14="OK",51&lt;=Creditos!$H$14),IF(P536&gt;0.005,E536,999999),999999)</f>
        <v>999999</v>
      </c>
    </row>
    <row r="537" ht="25.5" customHeight="1">
      <c r="C537" s="46" t="str">
        <f>IF(AND(Creditos!$C$14&lt;&gt;"",Creditos!$M$14="OK",52&lt;=Creditos!$H$14),Creditos!$C$14,"")</f>
        <v/>
      </c>
      <c r="D537" s="46" t="str">
        <f>IF(AND(Creditos!$C$14&lt;&gt;"",Creditos!$M$14="OK",52&lt;=Creditos!$H$14),52,"")</f>
        <v/>
      </c>
      <c r="E537" s="47" t="str">
        <f>IF(AND(Creditos!$C$14&lt;&gt;"",Creditos!$M$14="OK",52&lt;=Creditos!$H$14),EDATE(Creditos!$I$14,51),"")</f>
        <v/>
      </c>
      <c r="F537" s="48" t="str">
        <f>IF(AND(Creditos!$C$14&lt;&gt;"",Creditos!$M$14="OK",52&lt;=Creditos!$H$14),M536,"")</f>
        <v/>
      </c>
      <c r="G537" s="49" t="str">
        <f>IF(AND(Creditos!$C$14&lt;&gt;"",Creditos!$M$14="OK",52&lt;=Creditos!$H$14),Creditos!$N$14,"")</f>
        <v/>
      </c>
      <c r="H537" s="48" t="str">
        <f>IF(AND(Creditos!$C$14&lt;&gt;"",Creditos!$M$14="OK",52&lt;=Creditos!$H$14),ROUND(F537*G537,2),"")</f>
        <v/>
      </c>
      <c r="I537" s="48" t="str">
        <f>IF(AND(Creditos!$C$14&lt;&gt;"",Creditos!$M$14="OK",52&lt;=Creditos!$H$14),IF(52=Creditos!$H$14,F537+H537,MIN(Creditos!$O$14,F537+H537)),"")</f>
        <v/>
      </c>
      <c r="J537" s="48" t="str">
        <f>IF(AND(Creditos!$C$14&lt;&gt;"",Creditos!$M$14="OK",52&lt;=Creditos!$H$14),MIN(F537,MAX(0,I537-H537)),"")</f>
        <v/>
      </c>
      <c r="K537" s="48" t="str">
        <f>IF(AND(Creditos!$C$14&lt;&gt;"",Creditos!$M$14="OK",52&lt;=Creditos!$H$14),Creditos!$J$14+Creditos!$K$14,"")</f>
        <v/>
      </c>
      <c r="L537" s="48" t="str">
        <f>IF(AND(Creditos!$C$14&lt;&gt;"",Creditos!$M$14="OK",52&lt;=Creditos!$H$14),I537+K537,"")</f>
        <v/>
      </c>
      <c r="M537" s="48" t="str">
        <f>IF(AND(Creditos!$C$14&lt;&gt;"",Creditos!$M$14="OK",52&lt;=Creditos!$H$14),MAX(0,F537-J537),"")</f>
        <v/>
      </c>
      <c r="N537" s="48" t="str">
        <f>IF(AND(Creditos!$C$14&lt;&gt;"",Creditos!$M$14="OK",52&lt;=Creditos!$H$14),SUMIFS(Pagos!$F$6:$F$305,Pagos!$C$6:$C$305,C537,Pagos!$D$6:$D$305,D537,Pagos!$E$6:$E$305,"&lt;="&amp;Supuestos!$D$6,Pagos!$H$6:$H$305,"OK"),"")</f>
        <v/>
      </c>
      <c r="O537" s="48" t="str">
        <f>IF(AND(Creditos!$C$14&lt;&gt;"",Creditos!$M$14="OK",52&lt;=Creditos!$H$14),MIN(J537,MAX(0,N537-K537-H537)),"")</f>
        <v/>
      </c>
      <c r="P537" s="48" t="str">
        <f>IF(AND(Creditos!$C$14&lt;&gt;"",Creditos!$M$14="OK",52&lt;=Creditos!$H$14),MAX(0,L537-N537),"")</f>
        <v/>
      </c>
      <c r="Q537" s="50" t="str">
        <f>IF(AND(Creditos!$C$14&lt;&gt;"",Creditos!$M$14="OK",52&lt;=Creditos!$H$14),IF(AND(E537&lt;Supuestos!$D$6,P537&gt;0.005),Supuestos!$D$6-E537,0),"")</f>
        <v/>
      </c>
      <c r="R537" s="48" t="str">
        <f>IF(AND(Creditos!$C$14&lt;&gt;"",Creditos!$M$14="OK",52&lt;=Creditos!$H$14),MAX(0,N537-L537),"")</f>
        <v/>
      </c>
      <c r="S537" s="46" t="str">
        <f>IF(AND(Creditos!$C$14&lt;&gt;"",Creditos!$M$14="OK",52&lt;=Creditos!$H$14),IF(R537&gt;0.005,"Exceso sin imputar",IF(P537&lt;=0.005,"Pagada",IF(E537&lt;Supuestos!$D$6,"Vencida",IF(E537=Supuestos!$D$6,"Vence hoy","Por vencer")))),"")</f>
        <v/>
      </c>
      <c r="T537" s="46">
        <f>IF(AND(Creditos!$C$14&lt;&gt;"",Creditos!$M$14="OK",52&lt;=Creditos!$H$14),IF(P537&gt;0.005,E537,999999),999999)</f>
        <v>999999</v>
      </c>
    </row>
    <row r="538" ht="25.5" customHeight="1">
      <c r="C538" s="46" t="str">
        <f>IF(AND(Creditos!$C$14&lt;&gt;"",Creditos!$M$14="OK",53&lt;=Creditos!$H$14),Creditos!$C$14,"")</f>
        <v/>
      </c>
      <c r="D538" s="46" t="str">
        <f>IF(AND(Creditos!$C$14&lt;&gt;"",Creditos!$M$14="OK",53&lt;=Creditos!$H$14),53,"")</f>
        <v/>
      </c>
      <c r="E538" s="47" t="str">
        <f>IF(AND(Creditos!$C$14&lt;&gt;"",Creditos!$M$14="OK",53&lt;=Creditos!$H$14),EDATE(Creditos!$I$14,52),"")</f>
        <v/>
      </c>
      <c r="F538" s="48" t="str">
        <f>IF(AND(Creditos!$C$14&lt;&gt;"",Creditos!$M$14="OK",53&lt;=Creditos!$H$14),M537,"")</f>
        <v/>
      </c>
      <c r="G538" s="49" t="str">
        <f>IF(AND(Creditos!$C$14&lt;&gt;"",Creditos!$M$14="OK",53&lt;=Creditos!$H$14),Creditos!$N$14,"")</f>
        <v/>
      </c>
      <c r="H538" s="48" t="str">
        <f>IF(AND(Creditos!$C$14&lt;&gt;"",Creditos!$M$14="OK",53&lt;=Creditos!$H$14),ROUND(F538*G538,2),"")</f>
        <v/>
      </c>
      <c r="I538" s="48" t="str">
        <f>IF(AND(Creditos!$C$14&lt;&gt;"",Creditos!$M$14="OK",53&lt;=Creditos!$H$14),IF(53=Creditos!$H$14,F538+H538,MIN(Creditos!$O$14,F538+H538)),"")</f>
        <v/>
      </c>
      <c r="J538" s="48" t="str">
        <f>IF(AND(Creditos!$C$14&lt;&gt;"",Creditos!$M$14="OK",53&lt;=Creditos!$H$14),MIN(F538,MAX(0,I538-H538)),"")</f>
        <v/>
      </c>
      <c r="K538" s="48" t="str">
        <f>IF(AND(Creditos!$C$14&lt;&gt;"",Creditos!$M$14="OK",53&lt;=Creditos!$H$14),Creditos!$J$14+Creditos!$K$14,"")</f>
        <v/>
      </c>
      <c r="L538" s="48" t="str">
        <f>IF(AND(Creditos!$C$14&lt;&gt;"",Creditos!$M$14="OK",53&lt;=Creditos!$H$14),I538+K538,"")</f>
        <v/>
      </c>
      <c r="M538" s="48" t="str">
        <f>IF(AND(Creditos!$C$14&lt;&gt;"",Creditos!$M$14="OK",53&lt;=Creditos!$H$14),MAX(0,F538-J538),"")</f>
        <v/>
      </c>
      <c r="N538" s="48" t="str">
        <f>IF(AND(Creditos!$C$14&lt;&gt;"",Creditos!$M$14="OK",53&lt;=Creditos!$H$14),SUMIFS(Pagos!$F$6:$F$305,Pagos!$C$6:$C$305,C538,Pagos!$D$6:$D$305,D538,Pagos!$E$6:$E$305,"&lt;="&amp;Supuestos!$D$6,Pagos!$H$6:$H$305,"OK"),"")</f>
        <v/>
      </c>
      <c r="O538" s="48" t="str">
        <f>IF(AND(Creditos!$C$14&lt;&gt;"",Creditos!$M$14="OK",53&lt;=Creditos!$H$14),MIN(J538,MAX(0,N538-K538-H538)),"")</f>
        <v/>
      </c>
      <c r="P538" s="48" t="str">
        <f>IF(AND(Creditos!$C$14&lt;&gt;"",Creditos!$M$14="OK",53&lt;=Creditos!$H$14),MAX(0,L538-N538),"")</f>
        <v/>
      </c>
      <c r="Q538" s="50" t="str">
        <f>IF(AND(Creditos!$C$14&lt;&gt;"",Creditos!$M$14="OK",53&lt;=Creditos!$H$14),IF(AND(E538&lt;Supuestos!$D$6,P538&gt;0.005),Supuestos!$D$6-E538,0),"")</f>
        <v/>
      </c>
      <c r="R538" s="48" t="str">
        <f>IF(AND(Creditos!$C$14&lt;&gt;"",Creditos!$M$14="OK",53&lt;=Creditos!$H$14),MAX(0,N538-L538),"")</f>
        <v/>
      </c>
      <c r="S538" s="46" t="str">
        <f>IF(AND(Creditos!$C$14&lt;&gt;"",Creditos!$M$14="OK",53&lt;=Creditos!$H$14),IF(R538&gt;0.005,"Exceso sin imputar",IF(P538&lt;=0.005,"Pagada",IF(E538&lt;Supuestos!$D$6,"Vencida",IF(E538=Supuestos!$D$6,"Vence hoy","Por vencer")))),"")</f>
        <v/>
      </c>
      <c r="T538" s="46">
        <f>IF(AND(Creditos!$C$14&lt;&gt;"",Creditos!$M$14="OK",53&lt;=Creditos!$H$14),IF(P538&gt;0.005,E538,999999),999999)</f>
        <v>999999</v>
      </c>
    </row>
    <row r="539" ht="25.5" customHeight="1">
      <c r="C539" s="46" t="str">
        <f>IF(AND(Creditos!$C$14&lt;&gt;"",Creditos!$M$14="OK",54&lt;=Creditos!$H$14),Creditos!$C$14,"")</f>
        <v/>
      </c>
      <c r="D539" s="46" t="str">
        <f>IF(AND(Creditos!$C$14&lt;&gt;"",Creditos!$M$14="OK",54&lt;=Creditos!$H$14),54,"")</f>
        <v/>
      </c>
      <c r="E539" s="47" t="str">
        <f>IF(AND(Creditos!$C$14&lt;&gt;"",Creditos!$M$14="OK",54&lt;=Creditos!$H$14),EDATE(Creditos!$I$14,53),"")</f>
        <v/>
      </c>
      <c r="F539" s="48" t="str">
        <f>IF(AND(Creditos!$C$14&lt;&gt;"",Creditos!$M$14="OK",54&lt;=Creditos!$H$14),M538,"")</f>
        <v/>
      </c>
      <c r="G539" s="49" t="str">
        <f>IF(AND(Creditos!$C$14&lt;&gt;"",Creditos!$M$14="OK",54&lt;=Creditos!$H$14),Creditos!$N$14,"")</f>
        <v/>
      </c>
      <c r="H539" s="48" t="str">
        <f>IF(AND(Creditos!$C$14&lt;&gt;"",Creditos!$M$14="OK",54&lt;=Creditos!$H$14),ROUND(F539*G539,2),"")</f>
        <v/>
      </c>
      <c r="I539" s="48" t="str">
        <f>IF(AND(Creditos!$C$14&lt;&gt;"",Creditos!$M$14="OK",54&lt;=Creditos!$H$14),IF(54=Creditos!$H$14,F539+H539,MIN(Creditos!$O$14,F539+H539)),"")</f>
        <v/>
      </c>
      <c r="J539" s="48" t="str">
        <f>IF(AND(Creditos!$C$14&lt;&gt;"",Creditos!$M$14="OK",54&lt;=Creditos!$H$14),MIN(F539,MAX(0,I539-H539)),"")</f>
        <v/>
      </c>
      <c r="K539" s="48" t="str">
        <f>IF(AND(Creditos!$C$14&lt;&gt;"",Creditos!$M$14="OK",54&lt;=Creditos!$H$14),Creditos!$J$14+Creditos!$K$14,"")</f>
        <v/>
      </c>
      <c r="L539" s="48" t="str">
        <f>IF(AND(Creditos!$C$14&lt;&gt;"",Creditos!$M$14="OK",54&lt;=Creditos!$H$14),I539+K539,"")</f>
        <v/>
      </c>
      <c r="M539" s="48" t="str">
        <f>IF(AND(Creditos!$C$14&lt;&gt;"",Creditos!$M$14="OK",54&lt;=Creditos!$H$14),MAX(0,F539-J539),"")</f>
        <v/>
      </c>
      <c r="N539" s="48" t="str">
        <f>IF(AND(Creditos!$C$14&lt;&gt;"",Creditos!$M$14="OK",54&lt;=Creditos!$H$14),SUMIFS(Pagos!$F$6:$F$305,Pagos!$C$6:$C$305,C539,Pagos!$D$6:$D$305,D539,Pagos!$E$6:$E$305,"&lt;="&amp;Supuestos!$D$6,Pagos!$H$6:$H$305,"OK"),"")</f>
        <v/>
      </c>
      <c r="O539" s="48" t="str">
        <f>IF(AND(Creditos!$C$14&lt;&gt;"",Creditos!$M$14="OK",54&lt;=Creditos!$H$14),MIN(J539,MAX(0,N539-K539-H539)),"")</f>
        <v/>
      </c>
      <c r="P539" s="48" t="str">
        <f>IF(AND(Creditos!$C$14&lt;&gt;"",Creditos!$M$14="OK",54&lt;=Creditos!$H$14),MAX(0,L539-N539),"")</f>
        <v/>
      </c>
      <c r="Q539" s="50" t="str">
        <f>IF(AND(Creditos!$C$14&lt;&gt;"",Creditos!$M$14="OK",54&lt;=Creditos!$H$14),IF(AND(E539&lt;Supuestos!$D$6,P539&gt;0.005),Supuestos!$D$6-E539,0),"")</f>
        <v/>
      </c>
      <c r="R539" s="48" t="str">
        <f>IF(AND(Creditos!$C$14&lt;&gt;"",Creditos!$M$14="OK",54&lt;=Creditos!$H$14),MAX(0,N539-L539),"")</f>
        <v/>
      </c>
      <c r="S539" s="46" t="str">
        <f>IF(AND(Creditos!$C$14&lt;&gt;"",Creditos!$M$14="OK",54&lt;=Creditos!$H$14),IF(R539&gt;0.005,"Exceso sin imputar",IF(P539&lt;=0.005,"Pagada",IF(E539&lt;Supuestos!$D$6,"Vencida",IF(E539=Supuestos!$D$6,"Vence hoy","Por vencer")))),"")</f>
        <v/>
      </c>
      <c r="T539" s="46">
        <f>IF(AND(Creditos!$C$14&lt;&gt;"",Creditos!$M$14="OK",54&lt;=Creditos!$H$14),IF(P539&gt;0.005,E539,999999),999999)</f>
        <v>999999</v>
      </c>
    </row>
    <row r="540" ht="25.5" customHeight="1">
      <c r="C540" s="46" t="str">
        <f>IF(AND(Creditos!$C$14&lt;&gt;"",Creditos!$M$14="OK",55&lt;=Creditos!$H$14),Creditos!$C$14,"")</f>
        <v/>
      </c>
      <c r="D540" s="46" t="str">
        <f>IF(AND(Creditos!$C$14&lt;&gt;"",Creditos!$M$14="OK",55&lt;=Creditos!$H$14),55,"")</f>
        <v/>
      </c>
      <c r="E540" s="47" t="str">
        <f>IF(AND(Creditos!$C$14&lt;&gt;"",Creditos!$M$14="OK",55&lt;=Creditos!$H$14),EDATE(Creditos!$I$14,54),"")</f>
        <v/>
      </c>
      <c r="F540" s="48" t="str">
        <f>IF(AND(Creditos!$C$14&lt;&gt;"",Creditos!$M$14="OK",55&lt;=Creditos!$H$14),M539,"")</f>
        <v/>
      </c>
      <c r="G540" s="49" t="str">
        <f>IF(AND(Creditos!$C$14&lt;&gt;"",Creditos!$M$14="OK",55&lt;=Creditos!$H$14),Creditos!$N$14,"")</f>
        <v/>
      </c>
      <c r="H540" s="48" t="str">
        <f>IF(AND(Creditos!$C$14&lt;&gt;"",Creditos!$M$14="OK",55&lt;=Creditos!$H$14),ROUND(F540*G540,2),"")</f>
        <v/>
      </c>
      <c r="I540" s="48" t="str">
        <f>IF(AND(Creditos!$C$14&lt;&gt;"",Creditos!$M$14="OK",55&lt;=Creditos!$H$14),IF(55=Creditos!$H$14,F540+H540,MIN(Creditos!$O$14,F540+H540)),"")</f>
        <v/>
      </c>
      <c r="J540" s="48" t="str">
        <f>IF(AND(Creditos!$C$14&lt;&gt;"",Creditos!$M$14="OK",55&lt;=Creditos!$H$14),MIN(F540,MAX(0,I540-H540)),"")</f>
        <v/>
      </c>
      <c r="K540" s="48" t="str">
        <f>IF(AND(Creditos!$C$14&lt;&gt;"",Creditos!$M$14="OK",55&lt;=Creditos!$H$14),Creditos!$J$14+Creditos!$K$14,"")</f>
        <v/>
      </c>
      <c r="L540" s="48" t="str">
        <f>IF(AND(Creditos!$C$14&lt;&gt;"",Creditos!$M$14="OK",55&lt;=Creditos!$H$14),I540+K540,"")</f>
        <v/>
      </c>
      <c r="M540" s="48" t="str">
        <f>IF(AND(Creditos!$C$14&lt;&gt;"",Creditos!$M$14="OK",55&lt;=Creditos!$H$14),MAX(0,F540-J540),"")</f>
        <v/>
      </c>
      <c r="N540" s="48" t="str">
        <f>IF(AND(Creditos!$C$14&lt;&gt;"",Creditos!$M$14="OK",55&lt;=Creditos!$H$14),SUMIFS(Pagos!$F$6:$F$305,Pagos!$C$6:$C$305,C540,Pagos!$D$6:$D$305,D540,Pagos!$E$6:$E$305,"&lt;="&amp;Supuestos!$D$6,Pagos!$H$6:$H$305,"OK"),"")</f>
        <v/>
      </c>
      <c r="O540" s="48" t="str">
        <f>IF(AND(Creditos!$C$14&lt;&gt;"",Creditos!$M$14="OK",55&lt;=Creditos!$H$14),MIN(J540,MAX(0,N540-K540-H540)),"")</f>
        <v/>
      </c>
      <c r="P540" s="48" t="str">
        <f>IF(AND(Creditos!$C$14&lt;&gt;"",Creditos!$M$14="OK",55&lt;=Creditos!$H$14),MAX(0,L540-N540),"")</f>
        <v/>
      </c>
      <c r="Q540" s="50" t="str">
        <f>IF(AND(Creditos!$C$14&lt;&gt;"",Creditos!$M$14="OK",55&lt;=Creditos!$H$14),IF(AND(E540&lt;Supuestos!$D$6,P540&gt;0.005),Supuestos!$D$6-E540,0),"")</f>
        <v/>
      </c>
      <c r="R540" s="48" t="str">
        <f>IF(AND(Creditos!$C$14&lt;&gt;"",Creditos!$M$14="OK",55&lt;=Creditos!$H$14),MAX(0,N540-L540),"")</f>
        <v/>
      </c>
      <c r="S540" s="46" t="str">
        <f>IF(AND(Creditos!$C$14&lt;&gt;"",Creditos!$M$14="OK",55&lt;=Creditos!$H$14),IF(R540&gt;0.005,"Exceso sin imputar",IF(P540&lt;=0.005,"Pagada",IF(E540&lt;Supuestos!$D$6,"Vencida",IF(E540=Supuestos!$D$6,"Vence hoy","Por vencer")))),"")</f>
        <v/>
      </c>
      <c r="T540" s="46">
        <f>IF(AND(Creditos!$C$14&lt;&gt;"",Creditos!$M$14="OK",55&lt;=Creditos!$H$14),IF(P540&gt;0.005,E540,999999),999999)</f>
        <v>999999</v>
      </c>
    </row>
    <row r="541" ht="25.5" customHeight="1">
      <c r="C541" s="46" t="str">
        <f>IF(AND(Creditos!$C$14&lt;&gt;"",Creditos!$M$14="OK",56&lt;=Creditos!$H$14),Creditos!$C$14,"")</f>
        <v/>
      </c>
      <c r="D541" s="46" t="str">
        <f>IF(AND(Creditos!$C$14&lt;&gt;"",Creditos!$M$14="OK",56&lt;=Creditos!$H$14),56,"")</f>
        <v/>
      </c>
      <c r="E541" s="47" t="str">
        <f>IF(AND(Creditos!$C$14&lt;&gt;"",Creditos!$M$14="OK",56&lt;=Creditos!$H$14),EDATE(Creditos!$I$14,55),"")</f>
        <v/>
      </c>
      <c r="F541" s="48" t="str">
        <f>IF(AND(Creditos!$C$14&lt;&gt;"",Creditos!$M$14="OK",56&lt;=Creditos!$H$14),M540,"")</f>
        <v/>
      </c>
      <c r="G541" s="49" t="str">
        <f>IF(AND(Creditos!$C$14&lt;&gt;"",Creditos!$M$14="OK",56&lt;=Creditos!$H$14),Creditos!$N$14,"")</f>
        <v/>
      </c>
      <c r="H541" s="48" t="str">
        <f>IF(AND(Creditos!$C$14&lt;&gt;"",Creditos!$M$14="OK",56&lt;=Creditos!$H$14),ROUND(F541*G541,2),"")</f>
        <v/>
      </c>
      <c r="I541" s="48" t="str">
        <f>IF(AND(Creditos!$C$14&lt;&gt;"",Creditos!$M$14="OK",56&lt;=Creditos!$H$14),IF(56=Creditos!$H$14,F541+H541,MIN(Creditos!$O$14,F541+H541)),"")</f>
        <v/>
      </c>
      <c r="J541" s="48" t="str">
        <f>IF(AND(Creditos!$C$14&lt;&gt;"",Creditos!$M$14="OK",56&lt;=Creditos!$H$14),MIN(F541,MAX(0,I541-H541)),"")</f>
        <v/>
      </c>
      <c r="K541" s="48" t="str">
        <f>IF(AND(Creditos!$C$14&lt;&gt;"",Creditos!$M$14="OK",56&lt;=Creditos!$H$14),Creditos!$J$14+Creditos!$K$14,"")</f>
        <v/>
      </c>
      <c r="L541" s="48" t="str">
        <f>IF(AND(Creditos!$C$14&lt;&gt;"",Creditos!$M$14="OK",56&lt;=Creditos!$H$14),I541+K541,"")</f>
        <v/>
      </c>
      <c r="M541" s="48" t="str">
        <f>IF(AND(Creditos!$C$14&lt;&gt;"",Creditos!$M$14="OK",56&lt;=Creditos!$H$14),MAX(0,F541-J541),"")</f>
        <v/>
      </c>
      <c r="N541" s="48" t="str">
        <f>IF(AND(Creditos!$C$14&lt;&gt;"",Creditos!$M$14="OK",56&lt;=Creditos!$H$14),SUMIFS(Pagos!$F$6:$F$305,Pagos!$C$6:$C$305,C541,Pagos!$D$6:$D$305,D541,Pagos!$E$6:$E$305,"&lt;="&amp;Supuestos!$D$6,Pagos!$H$6:$H$305,"OK"),"")</f>
        <v/>
      </c>
      <c r="O541" s="48" t="str">
        <f>IF(AND(Creditos!$C$14&lt;&gt;"",Creditos!$M$14="OK",56&lt;=Creditos!$H$14),MIN(J541,MAX(0,N541-K541-H541)),"")</f>
        <v/>
      </c>
      <c r="P541" s="48" t="str">
        <f>IF(AND(Creditos!$C$14&lt;&gt;"",Creditos!$M$14="OK",56&lt;=Creditos!$H$14),MAX(0,L541-N541),"")</f>
        <v/>
      </c>
      <c r="Q541" s="50" t="str">
        <f>IF(AND(Creditos!$C$14&lt;&gt;"",Creditos!$M$14="OK",56&lt;=Creditos!$H$14),IF(AND(E541&lt;Supuestos!$D$6,P541&gt;0.005),Supuestos!$D$6-E541,0),"")</f>
        <v/>
      </c>
      <c r="R541" s="48" t="str">
        <f>IF(AND(Creditos!$C$14&lt;&gt;"",Creditos!$M$14="OK",56&lt;=Creditos!$H$14),MAX(0,N541-L541),"")</f>
        <v/>
      </c>
      <c r="S541" s="46" t="str">
        <f>IF(AND(Creditos!$C$14&lt;&gt;"",Creditos!$M$14="OK",56&lt;=Creditos!$H$14),IF(R541&gt;0.005,"Exceso sin imputar",IF(P541&lt;=0.005,"Pagada",IF(E541&lt;Supuestos!$D$6,"Vencida",IF(E541=Supuestos!$D$6,"Vence hoy","Por vencer")))),"")</f>
        <v/>
      </c>
      <c r="T541" s="46">
        <f>IF(AND(Creditos!$C$14&lt;&gt;"",Creditos!$M$14="OK",56&lt;=Creditos!$H$14),IF(P541&gt;0.005,E541,999999),999999)</f>
        <v>999999</v>
      </c>
    </row>
    <row r="542" ht="25.5" customHeight="1">
      <c r="C542" s="46" t="str">
        <f>IF(AND(Creditos!$C$14&lt;&gt;"",Creditos!$M$14="OK",57&lt;=Creditos!$H$14),Creditos!$C$14,"")</f>
        <v/>
      </c>
      <c r="D542" s="46" t="str">
        <f>IF(AND(Creditos!$C$14&lt;&gt;"",Creditos!$M$14="OK",57&lt;=Creditos!$H$14),57,"")</f>
        <v/>
      </c>
      <c r="E542" s="47" t="str">
        <f>IF(AND(Creditos!$C$14&lt;&gt;"",Creditos!$M$14="OK",57&lt;=Creditos!$H$14),EDATE(Creditos!$I$14,56),"")</f>
        <v/>
      </c>
      <c r="F542" s="48" t="str">
        <f>IF(AND(Creditos!$C$14&lt;&gt;"",Creditos!$M$14="OK",57&lt;=Creditos!$H$14),M541,"")</f>
        <v/>
      </c>
      <c r="G542" s="49" t="str">
        <f>IF(AND(Creditos!$C$14&lt;&gt;"",Creditos!$M$14="OK",57&lt;=Creditos!$H$14),Creditos!$N$14,"")</f>
        <v/>
      </c>
      <c r="H542" s="48" t="str">
        <f>IF(AND(Creditos!$C$14&lt;&gt;"",Creditos!$M$14="OK",57&lt;=Creditos!$H$14),ROUND(F542*G542,2),"")</f>
        <v/>
      </c>
      <c r="I542" s="48" t="str">
        <f>IF(AND(Creditos!$C$14&lt;&gt;"",Creditos!$M$14="OK",57&lt;=Creditos!$H$14),IF(57=Creditos!$H$14,F542+H542,MIN(Creditos!$O$14,F542+H542)),"")</f>
        <v/>
      </c>
      <c r="J542" s="48" t="str">
        <f>IF(AND(Creditos!$C$14&lt;&gt;"",Creditos!$M$14="OK",57&lt;=Creditos!$H$14),MIN(F542,MAX(0,I542-H542)),"")</f>
        <v/>
      </c>
      <c r="K542" s="48" t="str">
        <f>IF(AND(Creditos!$C$14&lt;&gt;"",Creditos!$M$14="OK",57&lt;=Creditos!$H$14),Creditos!$J$14+Creditos!$K$14,"")</f>
        <v/>
      </c>
      <c r="L542" s="48" t="str">
        <f>IF(AND(Creditos!$C$14&lt;&gt;"",Creditos!$M$14="OK",57&lt;=Creditos!$H$14),I542+K542,"")</f>
        <v/>
      </c>
      <c r="M542" s="48" t="str">
        <f>IF(AND(Creditos!$C$14&lt;&gt;"",Creditos!$M$14="OK",57&lt;=Creditos!$H$14),MAX(0,F542-J542),"")</f>
        <v/>
      </c>
      <c r="N542" s="48" t="str">
        <f>IF(AND(Creditos!$C$14&lt;&gt;"",Creditos!$M$14="OK",57&lt;=Creditos!$H$14),SUMIFS(Pagos!$F$6:$F$305,Pagos!$C$6:$C$305,C542,Pagos!$D$6:$D$305,D542,Pagos!$E$6:$E$305,"&lt;="&amp;Supuestos!$D$6,Pagos!$H$6:$H$305,"OK"),"")</f>
        <v/>
      </c>
      <c r="O542" s="48" t="str">
        <f>IF(AND(Creditos!$C$14&lt;&gt;"",Creditos!$M$14="OK",57&lt;=Creditos!$H$14),MIN(J542,MAX(0,N542-K542-H542)),"")</f>
        <v/>
      </c>
      <c r="P542" s="48" t="str">
        <f>IF(AND(Creditos!$C$14&lt;&gt;"",Creditos!$M$14="OK",57&lt;=Creditos!$H$14),MAX(0,L542-N542),"")</f>
        <v/>
      </c>
      <c r="Q542" s="50" t="str">
        <f>IF(AND(Creditos!$C$14&lt;&gt;"",Creditos!$M$14="OK",57&lt;=Creditos!$H$14),IF(AND(E542&lt;Supuestos!$D$6,P542&gt;0.005),Supuestos!$D$6-E542,0),"")</f>
        <v/>
      </c>
      <c r="R542" s="48" t="str">
        <f>IF(AND(Creditos!$C$14&lt;&gt;"",Creditos!$M$14="OK",57&lt;=Creditos!$H$14),MAX(0,N542-L542),"")</f>
        <v/>
      </c>
      <c r="S542" s="46" t="str">
        <f>IF(AND(Creditos!$C$14&lt;&gt;"",Creditos!$M$14="OK",57&lt;=Creditos!$H$14),IF(R542&gt;0.005,"Exceso sin imputar",IF(P542&lt;=0.005,"Pagada",IF(E542&lt;Supuestos!$D$6,"Vencida",IF(E542=Supuestos!$D$6,"Vence hoy","Por vencer")))),"")</f>
        <v/>
      </c>
      <c r="T542" s="46">
        <f>IF(AND(Creditos!$C$14&lt;&gt;"",Creditos!$M$14="OK",57&lt;=Creditos!$H$14),IF(P542&gt;0.005,E542,999999),999999)</f>
        <v>999999</v>
      </c>
    </row>
    <row r="543" ht="25.5" customHeight="1">
      <c r="C543" s="46" t="str">
        <f>IF(AND(Creditos!$C$14&lt;&gt;"",Creditos!$M$14="OK",58&lt;=Creditos!$H$14),Creditos!$C$14,"")</f>
        <v/>
      </c>
      <c r="D543" s="46" t="str">
        <f>IF(AND(Creditos!$C$14&lt;&gt;"",Creditos!$M$14="OK",58&lt;=Creditos!$H$14),58,"")</f>
        <v/>
      </c>
      <c r="E543" s="47" t="str">
        <f>IF(AND(Creditos!$C$14&lt;&gt;"",Creditos!$M$14="OK",58&lt;=Creditos!$H$14),EDATE(Creditos!$I$14,57),"")</f>
        <v/>
      </c>
      <c r="F543" s="48" t="str">
        <f>IF(AND(Creditos!$C$14&lt;&gt;"",Creditos!$M$14="OK",58&lt;=Creditos!$H$14),M542,"")</f>
        <v/>
      </c>
      <c r="G543" s="49" t="str">
        <f>IF(AND(Creditos!$C$14&lt;&gt;"",Creditos!$M$14="OK",58&lt;=Creditos!$H$14),Creditos!$N$14,"")</f>
        <v/>
      </c>
      <c r="H543" s="48" t="str">
        <f>IF(AND(Creditos!$C$14&lt;&gt;"",Creditos!$M$14="OK",58&lt;=Creditos!$H$14),ROUND(F543*G543,2),"")</f>
        <v/>
      </c>
      <c r="I543" s="48" t="str">
        <f>IF(AND(Creditos!$C$14&lt;&gt;"",Creditos!$M$14="OK",58&lt;=Creditos!$H$14),IF(58=Creditos!$H$14,F543+H543,MIN(Creditos!$O$14,F543+H543)),"")</f>
        <v/>
      </c>
      <c r="J543" s="48" t="str">
        <f>IF(AND(Creditos!$C$14&lt;&gt;"",Creditos!$M$14="OK",58&lt;=Creditos!$H$14),MIN(F543,MAX(0,I543-H543)),"")</f>
        <v/>
      </c>
      <c r="K543" s="48" t="str">
        <f>IF(AND(Creditos!$C$14&lt;&gt;"",Creditos!$M$14="OK",58&lt;=Creditos!$H$14),Creditos!$J$14+Creditos!$K$14,"")</f>
        <v/>
      </c>
      <c r="L543" s="48" t="str">
        <f>IF(AND(Creditos!$C$14&lt;&gt;"",Creditos!$M$14="OK",58&lt;=Creditos!$H$14),I543+K543,"")</f>
        <v/>
      </c>
      <c r="M543" s="48" t="str">
        <f>IF(AND(Creditos!$C$14&lt;&gt;"",Creditos!$M$14="OK",58&lt;=Creditos!$H$14),MAX(0,F543-J543),"")</f>
        <v/>
      </c>
      <c r="N543" s="48" t="str">
        <f>IF(AND(Creditos!$C$14&lt;&gt;"",Creditos!$M$14="OK",58&lt;=Creditos!$H$14),SUMIFS(Pagos!$F$6:$F$305,Pagos!$C$6:$C$305,C543,Pagos!$D$6:$D$305,D543,Pagos!$E$6:$E$305,"&lt;="&amp;Supuestos!$D$6,Pagos!$H$6:$H$305,"OK"),"")</f>
        <v/>
      </c>
      <c r="O543" s="48" t="str">
        <f>IF(AND(Creditos!$C$14&lt;&gt;"",Creditos!$M$14="OK",58&lt;=Creditos!$H$14),MIN(J543,MAX(0,N543-K543-H543)),"")</f>
        <v/>
      </c>
      <c r="P543" s="48" t="str">
        <f>IF(AND(Creditos!$C$14&lt;&gt;"",Creditos!$M$14="OK",58&lt;=Creditos!$H$14),MAX(0,L543-N543),"")</f>
        <v/>
      </c>
      <c r="Q543" s="50" t="str">
        <f>IF(AND(Creditos!$C$14&lt;&gt;"",Creditos!$M$14="OK",58&lt;=Creditos!$H$14),IF(AND(E543&lt;Supuestos!$D$6,P543&gt;0.005),Supuestos!$D$6-E543,0),"")</f>
        <v/>
      </c>
      <c r="R543" s="48" t="str">
        <f>IF(AND(Creditos!$C$14&lt;&gt;"",Creditos!$M$14="OK",58&lt;=Creditos!$H$14),MAX(0,N543-L543),"")</f>
        <v/>
      </c>
      <c r="S543" s="46" t="str">
        <f>IF(AND(Creditos!$C$14&lt;&gt;"",Creditos!$M$14="OK",58&lt;=Creditos!$H$14),IF(R543&gt;0.005,"Exceso sin imputar",IF(P543&lt;=0.005,"Pagada",IF(E543&lt;Supuestos!$D$6,"Vencida",IF(E543=Supuestos!$D$6,"Vence hoy","Por vencer")))),"")</f>
        <v/>
      </c>
      <c r="T543" s="46">
        <f>IF(AND(Creditos!$C$14&lt;&gt;"",Creditos!$M$14="OK",58&lt;=Creditos!$H$14),IF(P543&gt;0.005,E543,999999),999999)</f>
        <v>999999</v>
      </c>
    </row>
    <row r="544" ht="25.5" customHeight="1">
      <c r="C544" s="46" t="str">
        <f>IF(AND(Creditos!$C$14&lt;&gt;"",Creditos!$M$14="OK",59&lt;=Creditos!$H$14),Creditos!$C$14,"")</f>
        <v/>
      </c>
      <c r="D544" s="46" t="str">
        <f>IF(AND(Creditos!$C$14&lt;&gt;"",Creditos!$M$14="OK",59&lt;=Creditos!$H$14),59,"")</f>
        <v/>
      </c>
      <c r="E544" s="47" t="str">
        <f>IF(AND(Creditos!$C$14&lt;&gt;"",Creditos!$M$14="OK",59&lt;=Creditos!$H$14),EDATE(Creditos!$I$14,58),"")</f>
        <v/>
      </c>
      <c r="F544" s="48" t="str">
        <f>IF(AND(Creditos!$C$14&lt;&gt;"",Creditos!$M$14="OK",59&lt;=Creditos!$H$14),M543,"")</f>
        <v/>
      </c>
      <c r="G544" s="49" t="str">
        <f>IF(AND(Creditos!$C$14&lt;&gt;"",Creditos!$M$14="OK",59&lt;=Creditos!$H$14),Creditos!$N$14,"")</f>
        <v/>
      </c>
      <c r="H544" s="48" t="str">
        <f>IF(AND(Creditos!$C$14&lt;&gt;"",Creditos!$M$14="OK",59&lt;=Creditos!$H$14),ROUND(F544*G544,2),"")</f>
        <v/>
      </c>
      <c r="I544" s="48" t="str">
        <f>IF(AND(Creditos!$C$14&lt;&gt;"",Creditos!$M$14="OK",59&lt;=Creditos!$H$14),IF(59=Creditos!$H$14,F544+H544,MIN(Creditos!$O$14,F544+H544)),"")</f>
        <v/>
      </c>
      <c r="J544" s="48" t="str">
        <f>IF(AND(Creditos!$C$14&lt;&gt;"",Creditos!$M$14="OK",59&lt;=Creditos!$H$14),MIN(F544,MAX(0,I544-H544)),"")</f>
        <v/>
      </c>
      <c r="K544" s="48" t="str">
        <f>IF(AND(Creditos!$C$14&lt;&gt;"",Creditos!$M$14="OK",59&lt;=Creditos!$H$14),Creditos!$J$14+Creditos!$K$14,"")</f>
        <v/>
      </c>
      <c r="L544" s="48" t="str">
        <f>IF(AND(Creditos!$C$14&lt;&gt;"",Creditos!$M$14="OK",59&lt;=Creditos!$H$14),I544+K544,"")</f>
        <v/>
      </c>
      <c r="M544" s="48" t="str">
        <f>IF(AND(Creditos!$C$14&lt;&gt;"",Creditos!$M$14="OK",59&lt;=Creditos!$H$14),MAX(0,F544-J544),"")</f>
        <v/>
      </c>
      <c r="N544" s="48" t="str">
        <f>IF(AND(Creditos!$C$14&lt;&gt;"",Creditos!$M$14="OK",59&lt;=Creditos!$H$14),SUMIFS(Pagos!$F$6:$F$305,Pagos!$C$6:$C$305,C544,Pagos!$D$6:$D$305,D544,Pagos!$E$6:$E$305,"&lt;="&amp;Supuestos!$D$6,Pagos!$H$6:$H$305,"OK"),"")</f>
        <v/>
      </c>
      <c r="O544" s="48" t="str">
        <f>IF(AND(Creditos!$C$14&lt;&gt;"",Creditos!$M$14="OK",59&lt;=Creditos!$H$14),MIN(J544,MAX(0,N544-K544-H544)),"")</f>
        <v/>
      </c>
      <c r="P544" s="48" t="str">
        <f>IF(AND(Creditos!$C$14&lt;&gt;"",Creditos!$M$14="OK",59&lt;=Creditos!$H$14),MAX(0,L544-N544),"")</f>
        <v/>
      </c>
      <c r="Q544" s="50" t="str">
        <f>IF(AND(Creditos!$C$14&lt;&gt;"",Creditos!$M$14="OK",59&lt;=Creditos!$H$14),IF(AND(E544&lt;Supuestos!$D$6,P544&gt;0.005),Supuestos!$D$6-E544,0),"")</f>
        <v/>
      </c>
      <c r="R544" s="48" t="str">
        <f>IF(AND(Creditos!$C$14&lt;&gt;"",Creditos!$M$14="OK",59&lt;=Creditos!$H$14),MAX(0,N544-L544),"")</f>
        <v/>
      </c>
      <c r="S544" s="46" t="str">
        <f>IF(AND(Creditos!$C$14&lt;&gt;"",Creditos!$M$14="OK",59&lt;=Creditos!$H$14),IF(R544&gt;0.005,"Exceso sin imputar",IF(P544&lt;=0.005,"Pagada",IF(E544&lt;Supuestos!$D$6,"Vencida",IF(E544=Supuestos!$D$6,"Vence hoy","Por vencer")))),"")</f>
        <v/>
      </c>
      <c r="T544" s="46">
        <f>IF(AND(Creditos!$C$14&lt;&gt;"",Creditos!$M$14="OK",59&lt;=Creditos!$H$14),IF(P544&gt;0.005,E544,999999),999999)</f>
        <v>999999</v>
      </c>
    </row>
    <row r="545" ht="25.5" customHeight="1">
      <c r="C545" s="46" t="str">
        <f>IF(AND(Creditos!$C$14&lt;&gt;"",Creditos!$M$14="OK",60&lt;=Creditos!$H$14),Creditos!$C$14,"")</f>
        <v/>
      </c>
      <c r="D545" s="46" t="str">
        <f>IF(AND(Creditos!$C$14&lt;&gt;"",Creditos!$M$14="OK",60&lt;=Creditos!$H$14),60,"")</f>
        <v/>
      </c>
      <c r="E545" s="47" t="str">
        <f>IF(AND(Creditos!$C$14&lt;&gt;"",Creditos!$M$14="OK",60&lt;=Creditos!$H$14),EDATE(Creditos!$I$14,59),"")</f>
        <v/>
      </c>
      <c r="F545" s="48" t="str">
        <f>IF(AND(Creditos!$C$14&lt;&gt;"",Creditos!$M$14="OK",60&lt;=Creditos!$H$14),M544,"")</f>
        <v/>
      </c>
      <c r="G545" s="49" t="str">
        <f>IF(AND(Creditos!$C$14&lt;&gt;"",Creditos!$M$14="OK",60&lt;=Creditos!$H$14),Creditos!$N$14,"")</f>
        <v/>
      </c>
      <c r="H545" s="48" t="str">
        <f>IF(AND(Creditos!$C$14&lt;&gt;"",Creditos!$M$14="OK",60&lt;=Creditos!$H$14),ROUND(F545*G545,2),"")</f>
        <v/>
      </c>
      <c r="I545" s="48" t="str">
        <f>IF(AND(Creditos!$C$14&lt;&gt;"",Creditos!$M$14="OK",60&lt;=Creditos!$H$14),IF(60=Creditos!$H$14,F545+H545,MIN(Creditos!$O$14,F545+H545)),"")</f>
        <v/>
      </c>
      <c r="J545" s="48" t="str">
        <f>IF(AND(Creditos!$C$14&lt;&gt;"",Creditos!$M$14="OK",60&lt;=Creditos!$H$14),MIN(F545,MAX(0,I545-H545)),"")</f>
        <v/>
      </c>
      <c r="K545" s="48" t="str">
        <f>IF(AND(Creditos!$C$14&lt;&gt;"",Creditos!$M$14="OK",60&lt;=Creditos!$H$14),Creditos!$J$14+Creditos!$K$14,"")</f>
        <v/>
      </c>
      <c r="L545" s="48" t="str">
        <f>IF(AND(Creditos!$C$14&lt;&gt;"",Creditos!$M$14="OK",60&lt;=Creditos!$H$14),I545+K545,"")</f>
        <v/>
      </c>
      <c r="M545" s="48" t="str">
        <f>IF(AND(Creditos!$C$14&lt;&gt;"",Creditos!$M$14="OK",60&lt;=Creditos!$H$14),MAX(0,F545-J545),"")</f>
        <v/>
      </c>
      <c r="N545" s="48" t="str">
        <f>IF(AND(Creditos!$C$14&lt;&gt;"",Creditos!$M$14="OK",60&lt;=Creditos!$H$14),SUMIFS(Pagos!$F$6:$F$305,Pagos!$C$6:$C$305,C545,Pagos!$D$6:$D$305,D545,Pagos!$E$6:$E$305,"&lt;="&amp;Supuestos!$D$6,Pagos!$H$6:$H$305,"OK"),"")</f>
        <v/>
      </c>
      <c r="O545" s="48" t="str">
        <f>IF(AND(Creditos!$C$14&lt;&gt;"",Creditos!$M$14="OK",60&lt;=Creditos!$H$14),MIN(J545,MAX(0,N545-K545-H545)),"")</f>
        <v/>
      </c>
      <c r="P545" s="48" t="str">
        <f>IF(AND(Creditos!$C$14&lt;&gt;"",Creditos!$M$14="OK",60&lt;=Creditos!$H$14),MAX(0,L545-N545),"")</f>
        <v/>
      </c>
      <c r="Q545" s="50" t="str">
        <f>IF(AND(Creditos!$C$14&lt;&gt;"",Creditos!$M$14="OK",60&lt;=Creditos!$H$14),IF(AND(E545&lt;Supuestos!$D$6,P545&gt;0.005),Supuestos!$D$6-E545,0),"")</f>
        <v/>
      </c>
      <c r="R545" s="48" t="str">
        <f>IF(AND(Creditos!$C$14&lt;&gt;"",Creditos!$M$14="OK",60&lt;=Creditos!$H$14),MAX(0,N545-L545),"")</f>
        <v/>
      </c>
      <c r="S545" s="46" t="str">
        <f>IF(AND(Creditos!$C$14&lt;&gt;"",Creditos!$M$14="OK",60&lt;=Creditos!$H$14),IF(R545&gt;0.005,"Exceso sin imputar",IF(P545&lt;=0.005,"Pagada",IF(E545&lt;Supuestos!$D$6,"Vencida",IF(E545=Supuestos!$D$6,"Vence hoy","Por vencer")))),"")</f>
        <v/>
      </c>
      <c r="T545" s="46">
        <f>IF(AND(Creditos!$C$14&lt;&gt;"",Creditos!$M$14="OK",60&lt;=Creditos!$H$14),IF(P545&gt;0.005,E545,999999),999999)</f>
        <v>999999</v>
      </c>
    </row>
    <row r="546" ht="25.5" customHeight="1">
      <c r="C546" s="46" t="str">
        <f>IF(AND(Creditos!$C$15&lt;&gt;"",Creditos!$M$15="OK",1&lt;=Creditos!$H$15),Creditos!$C$15,"")</f>
        <v/>
      </c>
      <c r="D546" s="46" t="str">
        <f>IF(AND(Creditos!$C$15&lt;&gt;"",Creditos!$M$15="OK",1&lt;=Creditos!$H$15),1,"")</f>
        <v/>
      </c>
      <c r="E546" s="47" t="str">
        <f>IF(AND(Creditos!$C$15&lt;&gt;"",Creditos!$M$15="OK",1&lt;=Creditos!$H$15),EDATE(Creditos!$I$15,0),"")</f>
        <v/>
      </c>
      <c r="F546" s="48" t="str">
        <f>IF(AND(Creditos!$C$15&lt;&gt;"",Creditos!$M$15="OK",1&lt;=Creditos!$H$15),Creditos!$E$15,"")</f>
        <v/>
      </c>
      <c r="G546" s="49" t="str">
        <f>IF(AND(Creditos!$C$15&lt;&gt;"",Creditos!$M$15="OK",1&lt;=Creditos!$H$15),Creditos!$N$15,"")</f>
        <v/>
      </c>
      <c r="H546" s="48" t="str">
        <f>IF(AND(Creditos!$C$15&lt;&gt;"",Creditos!$M$15="OK",1&lt;=Creditos!$H$15),ROUND(F546*G546,2),"")</f>
        <v/>
      </c>
      <c r="I546" s="48" t="str">
        <f>IF(AND(Creditos!$C$15&lt;&gt;"",Creditos!$M$15="OK",1&lt;=Creditos!$H$15),IF(1=Creditos!$H$15,F546+H546,MIN(Creditos!$O$15,F546+H546)),"")</f>
        <v/>
      </c>
      <c r="J546" s="48" t="str">
        <f>IF(AND(Creditos!$C$15&lt;&gt;"",Creditos!$M$15="OK",1&lt;=Creditos!$H$15),MIN(F546,MAX(0,I546-H546)),"")</f>
        <v/>
      </c>
      <c r="K546" s="48" t="str">
        <f>IF(AND(Creditos!$C$15&lt;&gt;"",Creditos!$M$15="OK",1&lt;=Creditos!$H$15),Creditos!$J$15+Creditos!$K$15,"")</f>
        <v/>
      </c>
      <c r="L546" s="48" t="str">
        <f>IF(AND(Creditos!$C$15&lt;&gt;"",Creditos!$M$15="OK",1&lt;=Creditos!$H$15),I546+K546,"")</f>
        <v/>
      </c>
      <c r="M546" s="48" t="str">
        <f>IF(AND(Creditos!$C$15&lt;&gt;"",Creditos!$M$15="OK",1&lt;=Creditos!$H$15),MAX(0,F546-J546),"")</f>
        <v/>
      </c>
      <c r="N546" s="48" t="str">
        <f>IF(AND(Creditos!$C$15&lt;&gt;"",Creditos!$M$15="OK",1&lt;=Creditos!$H$15),SUMIFS(Pagos!$F$6:$F$305,Pagos!$C$6:$C$305,C546,Pagos!$D$6:$D$305,D546,Pagos!$E$6:$E$305,"&lt;="&amp;Supuestos!$D$6,Pagos!$H$6:$H$305,"OK"),"")</f>
        <v/>
      </c>
      <c r="O546" s="48" t="str">
        <f>IF(AND(Creditos!$C$15&lt;&gt;"",Creditos!$M$15="OK",1&lt;=Creditos!$H$15),MIN(J546,MAX(0,N546-K546-H546)),"")</f>
        <v/>
      </c>
      <c r="P546" s="48" t="str">
        <f>IF(AND(Creditos!$C$15&lt;&gt;"",Creditos!$M$15="OK",1&lt;=Creditos!$H$15),MAX(0,L546-N546),"")</f>
        <v/>
      </c>
      <c r="Q546" s="50" t="str">
        <f>IF(AND(Creditos!$C$15&lt;&gt;"",Creditos!$M$15="OK",1&lt;=Creditos!$H$15),IF(AND(E546&lt;Supuestos!$D$6,P546&gt;0.005),Supuestos!$D$6-E546,0),"")</f>
        <v/>
      </c>
      <c r="R546" s="48" t="str">
        <f>IF(AND(Creditos!$C$15&lt;&gt;"",Creditos!$M$15="OK",1&lt;=Creditos!$H$15),MAX(0,N546-L546),"")</f>
        <v/>
      </c>
      <c r="S546" s="46" t="str">
        <f>IF(AND(Creditos!$C$15&lt;&gt;"",Creditos!$M$15="OK",1&lt;=Creditos!$H$15),IF(R546&gt;0.005,"Exceso sin imputar",IF(P546&lt;=0.005,"Pagada",IF(E546&lt;Supuestos!$D$6,"Vencida",IF(E546=Supuestos!$D$6,"Vence hoy","Por vencer")))),"")</f>
        <v/>
      </c>
      <c r="T546" s="46">
        <f>IF(AND(Creditos!$C$15&lt;&gt;"",Creditos!$M$15="OK",1&lt;=Creditos!$H$15),IF(P546&gt;0.005,E546,999999),999999)</f>
        <v>999999</v>
      </c>
    </row>
    <row r="547" ht="25.5" customHeight="1">
      <c r="C547" s="46" t="str">
        <f>IF(AND(Creditos!$C$15&lt;&gt;"",Creditos!$M$15="OK",2&lt;=Creditos!$H$15),Creditos!$C$15,"")</f>
        <v/>
      </c>
      <c r="D547" s="46" t="str">
        <f>IF(AND(Creditos!$C$15&lt;&gt;"",Creditos!$M$15="OK",2&lt;=Creditos!$H$15),2,"")</f>
        <v/>
      </c>
      <c r="E547" s="47" t="str">
        <f>IF(AND(Creditos!$C$15&lt;&gt;"",Creditos!$M$15="OK",2&lt;=Creditos!$H$15),EDATE(Creditos!$I$15,1),"")</f>
        <v/>
      </c>
      <c r="F547" s="48" t="str">
        <f>IF(AND(Creditos!$C$15&lt;&gt;"",Creditos!$M$15="OK",2&lt;=Creditos!$H$15),M546,"")</f>
        <v/>
      </c>
      <c r="G547" s="49" t="str">
        <f>IF(AND(Creditos!$C$15&lt;&gt;"",Creditos!$M$15="OK",2&lt;=Creditos!$H$15),Creditos!$N$15,"")</f>
        <v/>
      </c>
      <c r="H547" s="48" t="str">
        <f>IF(AND(Creditos!$C$15&lt;&gt;"",Creditos!$M$15="OK",2&lt;=Creditos!$H$15),ROUND(F547*G547,2),"")</f>
        <v/>
      </c>
      <c r="I547" s="48" t="str">
        <f>IF(AND(Creditos!$C$15&lt;&gt;"",Creditos!$M$15="OK",2&lt;=Creditos!$H$15),IF(2=Creditos!$H$15,F547+H547,MIN(Creditos!$O$15,F547+H547)),"")</f>
        <v/>
      </c>
      <c r="J547" s="48" t="str">
        <f>IF(AND(Creditos!$C$15&lt;&gt;"",Creditos!$M$15="OK",2&lt;=Creditos!$H$15),MIN(F547,MAX(0,I547-H547)),"")</f>
        <v/>
      </c>
      <c r="K547" s="48" t="str">
        <f>IF(AND(Creditos!$C$15&lt;&gt;"",Creditos!$M$15="OK",2&lt;=Creditos!$H$15),Creditos!$J$15+Creditos!$K$15,"")</f>
        <v/>
      </c>
      <c r="L547" s="48" t="str">
        <f>IF(AND(Creditos!$C$15&lt;&gt;"",Creditos!$M$15="OK",2&lt;=Creditos!$H$15),I547+K547,"")</f>
        <v/>
      </c>
      <c r="M547" s="48" t="str">
        <f>IF(AND(Creditos!$C$15&lt;&gt;"",Creditos!$M$15="OK",2&lt;=Creditos!$H$15),MAX(0,F547-J547),"")</f>
        <v/>
      </c>
      <c r="N547" s="48" t="str">
        <f>IF(AND(Creditos!$C$15&lt;&gt;"",Creditos!$M$15="OK",2&lt;=Creditos!$H$15),SUMIFS(Pagos!$F$6:$F$305,Pagos!$C$6:$C$305,C547,Pagos!$D$6:$D$305,D547,Pagos!$E$6:$E$305,"&lt;="&amp;Supuestos!$D$6,Pagos!$H$6:$H$305,"OK"),"")</f>
        <v/>
      </c>
      <c r="O547" s="48" t="str">
        <f>IF(AND(Creditos!$C$15&lt;&gt;"",Creditos!$M$15="OK",2&lt;=Creditos!$H$15),MIN(J547,MAX(0,N547-K547-H547)),"")</f>
        <v/>
      </c>
      <c r="P547" s="48" t="str">
        <f>IF(AND(Creditos!$C$15&lt;&gt;"",Creditos!$M$15="OK",2&lt;=Creditos!$H$15),MAX(0,L547-N547),"")</f>
        <v/>
      </c>
      <c r="Q547" s="50" t="str">
        <f>IF(AND(Creditos!$C$15&lt;&gt;"",Creditos!$M$15="OK",2&lt;=Creditos!$H$15),IF(AND(E547&lt;Supuestos!$D$6,P547&gt;0.005),Supuestos!$D$6-E547,0),"")</f>
        <v/>
      </c>
      <c r="R547" s="48" t="str">
        <f>IF(AND(Creditos!$C$15&lt;&gt;"",Creditos!$M$15="OK",2&lt;=Creditos!$H$15),MAX(0,N547-L547),"")</f>
        <v/>
      </c>
      <c r="S547" s="46" t="str">
        <f>IF(AND(Creditos!$C$15&lt;&gt;"",Creditos!$M$15="OK",2&lt;=Creditos!$H$15),IF(R547&gt;0.005,"Exceso sin imputar",IF(P547&lt;=0.005,"Pagada",IF(E547&lt;Supuestos!$D$6,"Vencida",IF(E547=Supuestos!$D$6,"Vence hoy","Por vencer")))),"")</f>
        <v/>
      </c>
      <c r="T547" s="46">
        <f>IF(AND(Creditos!$C$15&lt;&gt;"",Creditos!$M$15="OK",2&lt;=Creditos!$H$15),IF(P547&gt;0.005,E547,999999),999999)</f>
        <v>999999</v>
      </c>
    </row>
    <row r="548" ht="25.5" customHeight="1">
      <c r="C548" s="46" t="str">
        <f>IF(AND(Creditos!$C$15&lt;&gt;"",Creditos!$M$15="OK",3&lt;=Creditos!$H$15),Creditos!$C$15,"")</f>
        <v/>
      </c>
      <c r="D548" s="46" t="str">
        <f>IF(AND(Creditos!$C$15&lt;&gt;"",Creditos!$M$15="OK",3&lt;=Creditos!$H$15),3,"")</f>
        <v/>
      </c>
      <c r="E548" s="47" t="str">
        <f>IF(AND(Creditos!$C$15&lt;&gt;"",Creditos!$M$15="OK",3&lt;=Creditos!$H$15),EDATE(Creditos!$I$15,2),"")</f>
        <v/>
      </c>
      <c r="F548" s="48" t="str">
        <f>IF(AND(Creditos!$C$15&lt;&gt;"",Creditos!$M$15="OK",3&lt;=Creditos!$H$15),M547,"")</f>
        <v/>
      </c>
      <c r="G548" s="49" t="str">
        <f>IF(AND(Creditos!$C$15&lt;&gt;"",Creditos!$M$15="OK",3&lt;=Creditos!$H$15),Creditos!$N$15,"")</f>
        <v/>
      </c>
      <c r="H548" s="48" t="str">
        <f>IF(AND(Creditos!$C$15&lt;&gt;"",Creditos!$M$15="OK",3&lt;=Creditos!$H$15),ROUND(F548*G548,2),"")</f>
        <v/>
      </c>
      <c r="I548" s="48" t="str">
        <f>IF(AND(Creditos!$C$15&lt;&gt;"",Creditos!$M$15="OK",3&lt;=Creditos!$H$15),IF(3=Creditos!$H$15,F548+H548,MIN(Creditos!$O$15,F548+H548)),"")</f>
        <v/>
      </c>
      <c r="J548" s="48" t="str">
        <f>IF(AND(Creditos!$C$15&lt;&gt;"",Creditos!$M$15="OK",3&lt;=Creditos!$H$15),MIN(F548,MAX(0,I548-H548)),"")</f>
        <v/>
      </c>
      <c r="K548" s="48" t="str">
        <f>IF(AND(Creditos!$C$15&lt;&gt;"",Creditos!$M$15="OK",3&lt;=Creditos!$H$15),Creditos!$J$15+Creditos!$K$15,"")</f>
        <v/>
      </c>
      <c r="L548" s="48" t="str">
        <f>IF(AND(Creditos!$C$15&lt;&gt;"",Creditos!$M$15="OK",3&lt;=Creditos!$H$15),I548+K548,"")</f>
        <v/>
      </c>
      <c r="M548" s="48" t="str">
        <f>IF(AND(Creditos!$C$15&lt;&gt;"",Creditos!$M$15="OK",3&lt;=Creditos!$H$15),MAX(0,F548-J548),"")</f>
        <v/>
      </c>
      <c r="N548" s="48" t="str">
        <f>IF(AND(Creditos!$C$15&lt;&gt;"",Creditos!$M$15="OK",3&lt;=Creditos!$H$15),SUMIFS(Pagos!$F$6:$F$305,Pagos!$C$6:$C$305,C548,Pagos!$D$6:$D$305,D548,Pagos!$E$6:$E$305,"&lt;="&amp;Supuestos!$D$6,Pagos!$H$6:$H$305,"OK"),"")</f>
        <v/>
      </c>
      <c r="O548" s="48" t="str">
        <f>IF(AND(Creditos!$C$15&lt;&gt;"",Creditos!$M$15="OK",3&lt;=Creditos!$H$15),MIN(J548,MAX(0,N548-K548-H548)),"")</f>
        <v/>
      </c>
      <c r="P548" s="48" t="str">
        <f>IF(AND(Creditos!$C$15&lt;&gt;"",Creditos!$M$15="OK",3&lt;=Creditos!$H$15),MAX(0,L548-N548),"")</f>
        <v/>
      </c>
      <c r="Q548" s="50" t="str">
        <f>IF(AND(Creditos!$C$15&lt;&gt;"",Creditos!$M$15="OK",3&lt;=Creditos!$H$15),IF(AND(E548&lt;Supuestos!$D$6,P548&gt;0.005),Supuestos!$D$6-E548,0),"")</f>
        <v/>
      </c>
      <c r="R548" s="48" t="str">
        <f>IF(AND(Creditos!$C$15&lt;&gt;"",Creditos!$M$15="OK",3&lt;=Creditos!$H$15),MAX(0,N548-L548),"")</f>
        <v/>
      </c>
      <c r="S548" s="46" t="str">
        <f>IF(AND(Creditos!$C$15&lt;&gt;"",Creditos!$M$15="OK",3&lt;=Creditos!$H$15),IF(R548&gt;0.005,"Exceso sin imputar",IF(P548&lt;=0.005,"Pagada",IF(E548&lt;Supuestos!$D$6,"Vencida",IF(E548=Supuestos!$D$6,"Vence hoy","Por vencer")))),"")</f>
        <v/>
      </c>
      <c r="T548" s="46">
        <f>IF(AND(Creditos!$C$15&lt;&gt;"",Creditos!$M$15="OK",3&lt;=Creditos!$H$15),IF(P548&gt;0.005,E548,999999),999999)</f>
        <v>999999</v>
      </c>
    </row>
    <row r="549" ht="25.5" customHeight="1">
      <c r="C549" s="46" t="str">
        <f>IF(AND(Creditos!$C$15&lt;&gt;"",Creditos!$M$15="OK",4&lt;=Creditos!$H$15),Creditos!$C$15,"")</f>
        <v/>
      </c>
      <c r="D549" s="46" t="str">
        <f>IF(AND(Creditos!$C$15&lt;&gt;"",Creditos!$M$15="OK",4&lt;=Creditos!$H$15),4,"")</f>
        <v/>
      </c>
      <c r="E549" s="47" t="str">
        <f>IF(AND(Creditos!$C$15&lt;&gt;"",Creditos!$M$15="OK",4&lt;=Creditos!$H$15),EDATE(Creditos!$I$15,3),"")</f>
        <v/>
      </c>
      <c r="F549" s="48" t="str">
        <f>IF(AND(Creditos!$C$15&lt;&gt;"",Creditos!$M$15="OK",4&lt;=Creditos!$H$15),M548,"")</f>
        <v/>
      </c>
      <c r="G549" s="49" t="str">
        <f>IF(AND(Creditos!$C$15&lt;&gt;"",Creditos!$M$15="OK",4&lt;=Creditos!$H$15),Creditos!$N$15,"")</f>
        <v/>
      </c>
      <c r="H549" s="48" t="str">
        <f>IF(AND(Creditos!$C$15&lt;&gt;"",Creditos!$M$15="OK",4&lt;=Creditos!$H$15),ROUND(F549*G549,2),"")</f>
        <v/>
      </c>
      <c r="I549" s="48" t="str">
        <f>IF(AND(Creditos!$C$15&lt;&gt;"",Creditos!$M$15="OK",4&lt;=Creditos!$H$15),IF(4=Creditos!$H$15,F549+H549,MIN(Creditos!$O$15,F549+H549)),"")</f>
        <v/>
      </c>
      <c r="J549" s="48" t="str">
        <f>IF(AND(Creditos!$C$15&lt;&gt;"",Creditos!$M$15="OK",4&lt;=Creditos!$H$15),MIN(F549,MAX(0,I549-H549)),"")</f>
        <v/>
      </c>
      <c r="K549" s="48" t="str">
        <f>IF(AND(Creditos!$C$15&lt;&gt;"",Creditos!$M$15="OK",4&lt;=Creditos!$H$15),Creditos!$J$15+Creditos!$K$15,"")</f>
        <v/>
      </c>
      <c r="L549" s="48" t="str">
        <f>IF(AND(Creditos!$C$15&lt;&gt;"",Creditos!$M$15="OK",4&lt;=Creditos!$H$15),I549+K549,"")</f>
        <v/>
      </c>
      <c r="M549" s="48" t="str">
        <f>IF(AND(Creditos!$C$15&lt;&gt;"",Creditos!$M$15="OK",4&lt;=Creditos!$H$15),MAX(0,F549-J549),"")</f>
        <v/>
      </c>
      <c r="N549" s="48" t="str">
        <f>IF(AND(Creditos!$C$15&lt;&gt;"",Creditos!$M$15="OK",4&lt;=Creditos!$H$15),SUMIFS(Pagos!$F$6:$F$305,Pagos!$C$6:$C$305,C549,Pagos!$D$6:$D$305,D549,Pagos!$E$6:$E$305,"&lt;="&amp;Supuestos!$D$6,Pagos!$H$6:$H$305,"OK"),"")</f>
        <v/>
      </c>
      <c r="O549" s="48" t="str">
        <f>IF(AND(Creditos!$C$15&lt;&gt;"",Creditos!$M$15="OK",4&lt;=Creditos!$H$15),MIN(J549,MAX(0,N549-K549-H549)),"")</f>
        <v/>
      </c>
      <c r="P549" s="48" t="str">
        <f>IF(AND(Creditos!$C$15&lt;&gt;"",Creditos!$M$15="OK",4&lt;=Creditos!$H$15),MAX(0,L549-N549),"")</f>
        <v/>
      </c>
      <c r="Q549" s="50" t="str">
        <f>IF(AND(Creditos!$C$15&lt;&gt;"",Creditos!$M$15="OK",4&lt;=Creditos!$H$15),IF(AND(E549&lt;Supuestos!$D$6,P549&gt;0.005),Supuestos!$D$6-E549,0),"")</f>
        <v/>
      </c>
      <c r="R549" s="48" t="str">
        <f>IF(AND(Creditos!$C$15&lt;&gt;"",Creditos!$M$15="OK",4&lt;=Creditos!$H$15),MAX(0,N549-L549),"")</f>
        <v/>
      </c>
      <c r="S549" s="46" t="str">
        <f>IF(AND(Creditos!$C$15&lt;&gt;"",Creditos!$M$15="OK",4&lt;=Creditos!$H$15),IF(R549&gt;0.005,"Exceso sin imputar",IF(P549&lt;=0.005,"Pagada",IF(E549&lt;Supuestos!$D$6,"Vencida",IF(E549=Supuestos!$D$6,"Vence hoy","Por vencer")))),"")</f>
        <v/>
      </c>
      <c r="T549" s="46">
        <f>IF(AND(Creditos!$C$15&lt;&gt;"",Creditos!$M$15="OK",4&lt;=Creditos!$H$15),IF(P549&gt;0.005,E549,999999),999999)</f>
        <v>999999</v>
      </c>
    </row>
    <row r="550" ht="25.5" customHeight="1">
      <c r="C550" s="46" t="str">
        <f>IF(AND(Creditos!$C$15&lt;&gt;"",Creditos!$M$15="OK",5&lt;=Creditos!$H$15),Creditos!$C$15,"")</f>
        <v/>
      </c>
      <c r="D550" s="46" t="str">
        <f>IF(AND(Creditos!$C$15&lt;&gt;"",Creditos!$M$15="OK",5&lt;=Creditos!$H$15),5,"")</f>
        <v/>
      </c>
      <c r="E550" s="47" t="str">
        <f>IF(AND(Creditos!$C$15&lt;&gt;"",Creditos!$M$15="OK",5&lt;=Creditos!$H$15),EDATE(Creditos!$I$15,4),"")</f>
        <v/>
      </c>
      <c r="F550" s="48" t="str">
        <f>IF(AND(Creditos!$C$15&lt;&gt;"",Creditos!$M$15="OK",5&lt;=Creditos!$H$15),M549,"")</f>
        <v/>
      </c>
      <c r="G550" s="49" t="str">
        <f>IF(AND(Creditos!$C$15&lt;&gt;"",Creditos!$M$15="OK",5&lt;=Creditos!$H$15),Creditos!$N$15,"")</f>
        <v/>
      </c>
      <c r="H550" s="48" t="str">
        <f>IF(AND(Creditos!$C$15&lt;&gt;"",Creditos!$M$15="OK",5&lt;=Creditos!$H$15),ROUND(F550*G550,2),"")</f>
        <v/>
      </c>
      <c r="I550" s="48" t="str">
        <f>IF(AND(Creditos!$C$15&lt;&gt;"",Creditos!$M$15="OK",5&lt;=Creditos!$H$15),IF(5=Creditos!$H$15,F550+H550,MIN(Creditos!$O$15,F550+H550)),"")</f>
        <v/>
      </c>
      <c r="J550" s="48" t="str">
        <f>IF(AND(Creditos!$C$15&lt;&gt;"",Creditos!$M$15="OK",5&lt;=Creditos!$H$15),MIN(F550,MAX(0,I550-H550)),"")</f>
        <v/>
      </c>
      <c r="K550" s="48" t="str">
        <f>IF(AND(Creditos!$C$15&lt;&gt;"",Creditos!$M$15="OK",5&lt;=Creditos!$H$15),Creditos!$J$15+Creditos!$K$15,"")</f>
        <v/>
      </c>
      <c r="L550" s="48" t="str">
        <f>IF(AND(Creditos!$C$15&lt;&gt;"",Creditos!$M$15="OK",5&lt;=Creditos!$H$15),I550+K550,"")</f>
        <v/>
      </c>
      <c r="M550" s="48" t="str">
        <f>IF(AND(Creditos!$C$15&lt;&gt;"",Creditos!$M$15="OK",5&lt;=Creditos!$H$15),MAX(0,F550-J550),"")</f>
        <v/>
      </c>
      <c r="N550" s="48" t="str">
        <f>IF(AND(Creditos!$C$15&lt;&gt;"",Creditos!$M$15="OK",5&lt;=Creditos!$H$15),SUMIFS(Pagos!$F$6:$F$305,Pagos!$C$6:$C$305,C550,Pagos!$D$6:$D$305,D550,Pagos!$E$6:$E$305,"&lt;="&amp;Supuestos!$D$6,Pagos!$H$6:$H$305,"OK"),"")</f>
        <v/>
      </c>
      <c r="O550" s="48" t="str">
        <f>IF(AND(Creditos!$C$15&lt;&gt;"",Creditos!$M$15="OK",5&lt;=Creditos!$H$15),MIN(J550,MAX(0,N550-K550-H550)),"")</f>
        <v/>
      </c>
      <c r="P550" s="48" t="str">
        <f>IF(AND(Creditos!$C$15&lt;&gt;"",Creditos!$M$15="OK",5&lt;=Creditos!$H$15),MAX(0,L550-N550),"")</f>
        <v/>
      </c>
      <c r="Q550" s="50" t="str">
        <f>IF(AND(Creditos!$C$15&lt;&gt;"",Creditos!$M$15="OK",5&lt;=Creditos!$H$15),IF(AND(E550&lt;Supuestos!$D$6,P550&gt;0.005),Supuestos!$D$6-E550,0),"")</f>
        <v/>
      </c>
      <c r="R550" s="48" t="str">
        <f>IF(AND(Creditos!$C$15&lt;&gt;"",Creditos!$M$15="OK",5&lt;=Creditos!$H$15),MAX(0,N550-L550),"")</f>
        <v/>
      </c>
      <c r="S550" s="46" t="str">
        <f>IF(AND(Creditos!$C$15&lt;&gt;"",Creditos!$M$15="OK",5&lt;=Creditos!$H$15),IF(R550&gt;0.005,"Exceso sin imputar",IF(P550&lt;=0.005,"Pagada",IF(E550&lt;Supuestos!$D$6,"Vencida",IF(E550=Supuestos!$D$6,"Vence hoy","Por vencer")))),"")</f>
        <v/>
      </c>
      <c r="T550" s="46">
        <f>IF(AND(Creditos!$C$15&lt;&gt;"",Creditos!$M$15="OK",5&lt;=Creditos!$H$15),IF(P550&gt;0.005,E550,999999),999999)</f>
        <v>999999</v>
      </c>
    </row>
    <row r="551" ht="25.5" customHeight="1">
      <c r="C551" s="46" t="str">
        <f>IF(AND(Creditos!$C$15&lt;&gt;"",Creditos!$M$15="OK",6&lt;=Creditos!$H$15),Creditos!$C$15,"")</f>
        <v/>
      </c>
      <c r="D551" s="46" t="str">
        <f>IF(AND(Creditos!$C$15&lt;&gt;"",Creditos!$M$15="OK",6&lt;=Creditos!$H$15),6,"")</f>
        <v/>
      </c>
      <c r="E551" s="47" t="str">
        <f>IF(AND(Creditos!$C$15&lt;&gt;"",Creditos!$M$15="OK",6&lt;=Creditos!$H$15),EDATE(Creditos!$I$15,5),"")</f>
        <v/>
      </c>
      <c r="F551" s="48" t="str">
        <f>IF(AND(Creditos!$C$15&lt;&gt;"",Creditos!$M$15="OK",6&lt;=Creditos!$H$15),M550,"")</f>
        <v/>
      </c>
      <c r="G551" s="49" t="str">
        <f>IF(AND(Creditos!$C$15&lt;&gt;"",Creditos!$M$15="OK",6&lt;=Creditos!$H$15),Creditos!$N$15,"")</f>
        <v/>
      </c>
      <c r="H551" s="48" t="str">
        <f>IF(AND(Creditos!$C$15&lt;&gt;"",Creditos!$M$15="OK",6&lt;=Creditos!$H$15),ROUND(F551*G551,2),"")</f>
        <v/>
      </c>
      <c r="I551" s="48" t="str">
        <f>IF(AND(Creditos!$C$15&lt;&gt;"",Creditos!$M$15="OK",6&lt;=Creditos!$H$15),IF(6=Creditos!$H$15,F551+H551,MIN(Creditos!$O$15,F551+H551)),"")</f>
        <v/>
      </c>
      <c r="J551" s="48" t="str">
        <f>IF(AND(Creditos!$C$15&lt;&gt;"",Creditos!$M$15="OK",6&lt;=Creditos!$H$15),MIN(F551,MAX(0,I551-H551)),"")</f>
        <v/>
      </c>
      <c r="K551" s="48" t="str">
        <f>IF(AND(Creditos!$C$15&lt;&gt;"",Creditos!$M$15="OK",6&lt;=Creditos!$H$15),Creditos!$J$15+Creditos!$K$15,"")</f>
        <v/>
      </c>
      <c r="L551" s="48" t="str">
        <f>IF(AND(Creditos!$C$15&lt;&gt;"",Creditos!$M$15="OK",6&lt;=Creditos!$H$15),I551+K551,"")</f>
        <v/>
      </c>
      <c r="M551" s="48" t="str">
        <f>IF(AND(Creditos!$C$15&lt;&gt;"",Creditos!$M$15="OK",6&lt;=Creditos!$H$15),MAX(0,F551-J551),"")</f>
        <v/>
      </c>
      <c r="N551" s="48" t="str">
        <f>IF(AND(Creditos!$C$15&lt;&gt;"",Creditos!$M$15="OK",6&lt;=Creditos!$H$15),SUMIFS(Pagos!$F$6:$F$305,Pagos!$C$6:$C$305,C551,Pagos!$D$6:$D$305,D551,Pagos!$E$6:$E$305,"&lt;="&amp;Supuestos!$D$6,Pagos!$H$6:$H$305,"OK"),"")</f>
        <v/>
      </c>
      <c r="O551" s="48" t="str">
        <f>IF(AND(Creditos!$C$15&lt;&gt;"",Creditos!$M$15="OK",6&lt;=Creditos!$H$15),MIN(J551,MAX(0,N551-K551-H551)),"")</f>
        <v/>
      </c>
      <c r="P551" s="48" t="str">
        <f>IF(AND(Creditos!$C$15&lt;&gt;"",Creditos!$M$15="OK",6&lt;=Creditos!$H$15),MAX(0,L551-N551),"")</f>
        <v/>
      </c>
      <c r="Q551" s="50" t="str">
        <f>IF(AND(Creditos!$C$15&lt;&gt;"",Creditos!$M$15="OK",6&lt;=Creditos!$H$15),IF(AND(E551&lt;Supuestos!$D$6,P551&gt;0.005),Supuestos!$D$6-E551,0),"")</f>
        <v/>
      </c>
      <c r="R551" s="48" t="str">
        <f>IF(AND(Creditos!$C$15&lt;&gt;"",Creditos!$M$15="OK",6&lt;=Creditos!$H$15),MAX(0,N551-L551),"")</f>
        <v/>
      </c>
      <c r="S551" s="46" t="str">
        <f>IF(AND(Creditos!$C$15&lt;&gt;"",Creditos!$M$15="OK",6&lt;=Creditos!$H$15),IF(R551&gt;0.005,"Exceso sin imputar",IF(P551&lt;=0.005,"Pagada",IF(E551&lt;Supuestos!$D$6,"Vencida",IF(E551=Supuestos!$D$6,"Vence hoy","Por vencer")))),"")</f>
        <v/>
      </c>
      <c r="T551" s="46">
        <f>IF(AND(Creditos!$C$15&lt;&gt;"",Creditos!$M$15="OK",6&lt;=Creditos!$H$15),IF(P551&gt;0.005,E551,999999),999999)</f>
        <v>999999</v>
      </c>
    </row>
    <row r="552" ht="25.5" customHeight="1">
      <c r="C552" s="46" t="str">
        <f>IF(AND(Creditos!$C$15&lt;&gt;"",Creditos!$M$15="OK",7&lt;=Creditos!$H$15),Creditos!$C$15,"")</f>
        <v/>
      </c>
      <c r="D552" s="46" t="str">
        <f>IF(AND(Creditos!$C$15&lt;&gt;"",Creditos!$M$15="OK",7&lt;=Creditos!$H$15),7,"")</f>
        <v/>
      </c>
      <c r="E552" s="47" t="str">
        <f>IF(AND(Creditos!$C$15&lt;&gt;"",Creditos!$M$15="OK",7&lt;=Creditos!$H$15),EDATE(Creditos!$I$15,6),"")</f>
        <v/>
      </c>
      <c r="F552" s="48" t="str">
        <f>IF(AND(Creditos!$C$15&lt;&gt;"",Creditos!$M$15="OK",7&lt;=Creditos!$H$15),M551,"")</f>
        <v/>
      </c>
      <c r="G552" s="49" t="str">
        <f>IF(AND(Creditos!$C$15&lt;&gt;"",Creditos!$M$15="OK",7&lt;=Creditos!$H$15),Creditos!$N$15,"")</f>
        <v/>
      </c>
      <c r="H552" s="48" t="str">
        <f>IF(AND(Creditos!$C$15&lt;&gt;"",Creditos!$M$15="OK",7&lt;=Creditos!$H$15),ROUND(F552*G552,2),"")</f>
        <v/>
      </c>
      <c r="I552" s="48" t="str">
        <f>IF(AND(Creditos!$C$15&lt;&gt;"",Creditos!$M$15="OK",7&lt;=Creditos!$H$15),IF(7=Creditos!$H$15,F552+H552,MIN(Creditos!$O$15,F552+H552)),"")</f>
        <v/>
      </c>
      <c r="J552" s="48" t="str">
        <f>IF(AND(Creditos!$C$15&lt;&gt;"",Creditos!$M$15="OK",7&lt;=Creditos!$H$15),MIN(F552,MAX(0,I552-H552)),"")</f>
        <v/>
      </c>
      <c r="K552" s="48" t="str">
        <f>IF(AND(Creditos!$C$15&lt;&gt;"",Creditos!$M$15="OK",7&lt;=Creditos!$H$15),Creditos!$J$15+Creditos!$K$15,"")</f>
        <v/>
      </c>
      <c r="L552" s="48" t="str">
        <f>IF(AND(Creditos!$C$15&lt;&gt;"",Creditos!$M$15="OK",7&lt;=Creditos!$H$15),I552+K552,"")</f>
        <v/>
      </c>
      <c r="M552" s="48" t="str">
        <f>IF(AND(Creditos!$C$15&lt;&gt;"",Creditos!$M$15="OK",7&lt;=Creditos!$H$15),MAX(0,F552-J552),"")</f>
        <v/>
      </c>
      <c r="N552" s="48" t="str">
        <f>IF(AND(Creditos!$C$15&lt;&gt;"",Creditos!$M$15="OK",7&lt;=Creditos!$H$15),SUMIFS(Pagos!$F$6:$F$305,Pagos!$C$6:$C$305,C552,Pagos!$D$6:$D$305,D552,Pagos!$E$6:$E$305,"&lt;="&amp;Supuestos!$D$6,Pagos!$H$6:$H$305,"OK"),"")</f>
        <v/>
      </c>
      <c r="O552" s="48" t="str">
        <f>IF(AND(Creditos!$C$15&lt;&gt;"",Creditos!$M$15="OK",7&lt;=Creditos!$H$15),MIN(J552,MAX(0,N552-K552-H552)),"")</f>
        <v/>
      </c>
      <c r="P552" s="48" t="str">
        <f>IF(AND(Creditos!$C$15&lt;&gt;"",Creditos!$M$15="OK",7&lt;=Creditos!$H$15),MAX(0,L552-N552),"")</f>
        <v/>
      </c>
      <c r="Q552" s="50" t="str">
        <f>IF(AND(Creditos!$C$15&lt;&gt;"",Creditos!$M$15="OK",7&lt;=Creditos!$H$15),IF(AND(E552&lt;Supuestos!$D$6,P552&gt;0.005),Supuestos!$D$6-E552,0),"")</f>
        <v/>
      </c>
      <c r="R552" s="48" t="str">
        <f>IF(AND(Creditos!$C$15&lt;&gt;"",Creditos!$M$15="OK",7&lt;=Creditos!$H$15),MAX(0,N552-L552),"")</f>
        <v/>
      </c>
      <c r="S552" s="46" t="str">
        <f>IF(AND(Creditos!$C$15&lt;&gt;"",Creditos!$M$15="OK",7&lt;=Creditos!$H$15),IF(R552&gt;0.005,"Exceso sin imputar",IF(P552&lt;=0.005,"Pagada",IF(E552&lt;Supuestos!$D$6,"Vencida",IF(E552=Supuestos!$D$6,"Vence hoy","Por vencer")))),"")</f>
        <v/>
      </c>
      <c r="T552" s="46">
        <f>IF(AND(Creditos!$C$15&lt;&gt;"",Creditos!$M$15="OK",7&lt;=Creditos!$H$15),IF(P552&gt;0.005,E552,999999),999999)</f>
        <v>999999</v>
      </c>
    </row>
    <row r="553" ht="25.5" customHeight="1">
      <c r="C553" s="46" t="str">
        <f>IF(AND(Creditos!$C$15&lt;&gt;"",Creditos!$M$15="OK",8&lt;=Creditos!$H$15),Creditos!$C$15,"")</f>
        <v/>
      </c>
      <c r="D553" s="46" t="str">
        <f>IF(AND(Creditos!$C$15&lt;&gt;"",Creditos!$M$15="OK",8&lt;=Creditos!$H$15),8,"")</f>
        <v/>
      </c>
      <c r="E553" s="47" t="str">
        <f>IF(AND(Creditos!$C$15&lt;&gt;"",Creditos!$M$15="OK",8&lt;=Creditos!$H$15),EDATE(Creditos!$I$15,7),"")</f>
        <v/>
      </c>
      <c r="F553" s="48" t="str">
        <f>IF(AND(Creditos!$C$15&lt;&gt;"",Creditos!$M$15="OK",8&lt;=Creditos!$H$15),M552,"")</f>
        <v/>
      </c>
      <c r="G553" s="49" t="str">
        <f>IF(AND(Creditos!$C$15&lt;&gt;"",Creditos!$M$15="OK",8&lt;=Creditos!$H$15),Creditos!$N$15,"")</f>
        <v/>
      </c>
      <c r="H553" s="48" t="str">
        <f>IF(AND(Creditos!$C$15&lt;&gt;"",Creditos!$M$15="OK",8&lt;=Creditos!$H$15),ROUND(F553*G553,2),"")</f>
        <v/>
      </c>
      <c r="I553" s="48" t="str">
        <f>IF(AND(Creditos!$C$15&lt;&gt;"",Creditos!$M$15="OK",8&lt;=Creditos!$H$15),IF(8=Creditos!$H$15,F553+H553,MIN(Creditos!$O$15,F553+H553)),"")</f>
        <v/>
      </c>
      <c r="J553" s="48" t="str">
        <f>IF(AND(Creditos!$C$15&lt;&gt;"",Creditos!$M$15="OK",8&lt;=Creditos!$H$15),MIN(F553,MAX(0,I553-H553)),"")</f>
        <v/>
      </c>
      <c r="K553" s="48" t="str">
        <f>IF(AND(Creditos!$C$15&lt;&gt;"",Creditos!$M$15="OK",8&lt;=Creditos!$H$15),Creditos!$J$15+Creditos!$K$15,"")</f>
        <v/>
      </c>
      <c r="L553" s="48" t="str">
        <f>IF(AND(Creditos!$C$15&lt;&gt;"",Creditos!$M$15="OK",8&lt;=Creditos!$H$15),I553+K553,"")</f>
        <v/>
      </c>
      <c r="M553" s="48" t="str">
        <f>IF(AND(Creditos!$C$15&lt;&gt;"",Creditos!$M$15="OK",8&lt;=Creditos!$H$15),MAX(0,F553-J553),"")</f>
        <v/>
      </c>
      <c r="N553" s="48" t="str">
        <f>IF(AND(Creditos!$C$15&lt;&gt;"",Creditos!$M$15="OK",8&lt;=Creditos!$H$15),SUMIFS(Pagos!$F$6:$F$305,Pagos!$C$6:$C$305,C553,Pagos!$D$6:$D$305,D553,Pagos!$E$6:$E$305,"&lt;="&amp;Supuestos!$D$6,Pagos!$H$6:$H$305,"OK"),"")</f>
        <v/>
      </c>
      <c r="O553" s="48" t="str">
        <f>IF(AND(Creditos!$C$15&lt;&gt;"",Creditos!$M$15="OK",8&lt;=Creditos!$H$15),MIN(J553,MAX(0,N553-K553-H553)),"")</f>
        <v/>
      </c>
      <c r="P553" s="48" t="str">
        <f>IF(AND(Creditos!$C$15&lt;&gt;"",Creditos!$M$15="OK",8&lt;=Creditos!$H$15),MAX(0,L553-N553),"")</f>
        <v/>
      </c>
      <c r="Q553" s="50" t="str">
        <f>IF(AND(Creditos!$C$15&lt;&gt;"",Creditos!$M$15="OK",8&lt;=Creditos!$H$15),IF(AND(E553&lt;Supuestos!$D$6,P553&gt;0.005),Supuestos!$D$6-E553,0),"")</f>
        <v/>
      </c>
      <c r="R553" s="48" t="str">
        <f>IF(AND(Creditos!$C$15&lt;&gt;"",Creditos!$M$15="OK",8&lt;=Creditos!$H$15),MAX(0,N553-L553),"")</f>
        <v/>
      </c>
      <c r="S553" s="46" t="str">
        <f>IF(AND(Creditos!$C$15&lt;&gt;"",Creditos!$M$15="OK",8&lt;=Creditos!$H$15),IF(R553&gt;0.005,"Exceso sin imputar",IF(P553&lt;=0.005,"Pagada",IF(E553&lt;Supuestos!$D$6,"Vencida",IF(E553=Supuestos!$D$6,"Vence hoy","Por vencer")))),"")</f>
        <v/>
      </c>
      <c r="T553" s="46">
        <f>IF(AND(Creditos!$C$15&lt;&gt;"",Creditos!$M$15="OK",8&lt;=Creditos!$H$15),IF(P553&gt;0.005,E553,999999),999999)</f>
        <v>999999</v>
      </c>
    </row>
    <row r="554" ht="25.5" customHeight="1">
      <c r="C554" s="46" t="str">
        <f>IF(AND(Creditos!$C$15&lt;&gt;"",Creditos!$M$15="OK",9&lt;=Creditos!$H$15),Creditos!$C$15,"")</f>
        <v/>
      </c>
      <c r="D554" s="46" t="str">
        <f>IF(AND(Creditos!$C$15&lt;&gt;"",Creditos!$M$15="OK",9&lt;=Creditos!$H$15),9,"")</f>
        <v/>
      </c>
      <c r="E554" s="47" t="str">
        <f>IF(AND(Creditos!$C$15&lt;&gt;"",Creditos!$M$15="OK",9&lt;=Creditos!$H$15),EDATE(Creditos!$I$15,8),"")</f>
        <v/>
      </c>
      <c r="F554" s="48" t="str">
        <f>IF(AND(Creditos!$C$15&lt;&gt;"",Creditos!$M$15="OK",9&lt;=Creditos!$H$15),M553,"")</f>
        <v/>
      </c>
      <c r="G554" s="49" t="str">
        <f>IF(AND(Creditos!$C$15&lt;&gt;"",Creditos!$M$15="OK",9&lt;=Creditos!$H$15),Creditos!$N$15,"")</f>
        <v/>
      </c>
      <c r="H554" s="48" t="str">
        <f>IF(AND(Creditos!$C$15&lt;&gt;"",Creditos!$M$15="OK",9&lt;=Creditos!$H$15),ROUND(F554*G554,2),"")</f>
        <v/>
      </c>
      <c r="I554" s="48" t="str">
        <f>IF(AND(Creditos!$C$15&lt;&gt;"",Creditos!$M$15="OK",9&lt;=Creditos!$H$15),IF(9=Creditos!$H$15,F554+H554,MIN(Creditos!$O$15,F554+H554)),"")</f>
        <v/>
      </c>
      <c r="J554" s="48" t="str">
        <f>IF(AND(Creditos!$C$15&lt;&gt;"",Creditos!$M$15="OK",9&lt;=Creditos!$H$15),MIN(F554,MAX(0,I554-H554)),"")</f>
        <v/>
      </c>
      <c r="K554" s="48" t="str">
        <f>IF(AND(Creditos!$C$15&lt;&gt;"",Creditos!$M$15="OK",9&lt;=Creditos!$H$15),Creditos!$J$15+Creditos!$K$15,"")</f>
        <v/>
      </c>
      <c r="L554" s="48" t="str">
        <f>IF(AND(Creditos!$C$15&lt;&gt;"",Creditos!$M$15="OK",9&lt;=Creditos!$H$15),I554+K554,"")</f>
        <v/>
      </c>
      <c r="M554" s="48" t="str">
        <f>IF(AND(Creditos!$C$15&lt;&gt;"",Creditos!$M$15="OK",9&lt;=Creditos!$H$15),MAX(0,F554-J554),"")</f>
        <v/>
      </c>
      <c r="N554" s="48" t="str">
        <f>IF(AND(Creditos!$C$15&lt;&gt;"",Creditos!$M$15="OK",9&lt;=Creditos!$H$15),SUMIFS(Pagos!$F$6:$F$305,Pagos!$C$6:$C$305,C554,Pagos!$D$6:$D$305,D554,Pagos!$E$6:$E$305,"&lt;="&amp;Supuestos!$D$6,Pagos!$H$6:$H$305,"OK"),"")</f>
        <v/>
      </c>
      <c r="O554" s="48" t="str">
        <f>IF(AND(Creditos!$C$15&lt;&gt;"",Creditos!$M$15="OK",9&lt;=Creditos!$H$15),MIN(J554,MAX(0,N554-K554-H554)),"")</f>
        <v/>
      </c>
      <c r="P554" s="48" t="str">
        <f>IF(AND(Creditos!$C$15&lt;&gt;"",Creditos!$M$15="OK",9&lt;=Creditos!$H$15),MAX(0,L554-N554),"")</f>
        <v/>
      </c>
      <c r="Q554" s="50" t="str">
        <f>IF(AND(Creditos!$C$15&lt;&gt;"",Creditos!$M$15="OK",9&lt;=Creditos!$H$15),IF(AND(E554&lt;Supuestos!$D$6,P554&gt;0.005),Supuestos!$D$6-E554,0),"")</f>
        <v/>
      </c>
      <c r="R554" s="48" t="str">
        <f>IF(AND(Creditos!$C$15&lt;&gt;"",Creditos!$M$15="OK",9&lt;=Creditos!$H$15),MAX(0,N554-L554),"")</f>
        <v/>
      </c>
      <c r="S554" s="46" t="str">
        <f>IF(AND(Creditos!$C$15&lt;&gt;"",Creditos!$M$15="OK",9&lt;=Creditos!$H$15),IF(R554&gt;0.005,"Exceso sin imputar",IF(P554&lt;=0.005,"Pagada",IF(E554&lt;Supuestos!$D$6,"Vencida",IF(E554=Supuestos!$D$6,"Vence hoy","Por vencer")))),"")</f>
        <v/>
      </c>
      <c r="T554" s="46">
        <f>IF(AND(Creditos!$C$15&lt;&gt;"",Creditos!$M$15="OK",9&lt;=Creditos!$H$15),IF(P554&gt;0.005,E554,999999),999999)</f>
        <v>999999</v>
      </c>
    </row>
    <row r="555" ht="25.5" customHeight="1">
      <c r="C555" s="46" t="str">
        <f>IF(AND(Creditos!$C$15&lt;&gt;"",Creditos!$M$15="OK",10&lt;=Creditos!$H$15),Creditos!$C$15,"")</f>
        <v/>
      </c>
      <c r="D555" s="46" t="str">
        <f>IF(AND(Creditos!$C$15&lt;&gt;"",Creditos!$M$15="OK",10&lt;=Creditos!$H$15),10,"")</f>
        <v/>
      </c>
      <c r="E555" s="47" t="str">
        <f>IF(AND(Creditos!$C$15&lt;&gt;"",Creditos!$M$15="OK",10&lt;=Creditos!$H$15),EDATE(Creditos!$I$15,9),"")</f>
        <v/>
      </c>
      <c r="F555" s="48" t="str">
        <f>IF(AND(Creditos!$C$15&lt;&gt;"",Creditos!$M$15="OK",10&lt;=Creditos!$H$15),M554,"")</f>
        <v/>
      </c>
      <c r="G555" s="49" t="str">
        <f>IF(AND(Creditos!$C$15&lt;&gt;"",Creditos!$M$15="OK",10&lt;=Creditos!$H$15),Creditos!$N$15,"")</f>
        <v/>
      </c>
      <c r="H555" s="48" t="str">
        <f>IF(AND(Creditos!$C$15&lt;&gt;"",Creditos!$M$15="OK",10&lt;=Creditos!$H$15),ROUND(F555*G555,2),"")</f>
        <v/>
      </c>
      <c r="I555" s="48" t="str">
        <f>IF(AND(Creditos!$C$15&lt;&gt;"",Creditos!$M$15="OK",10&lt;=Creditos!$H$15),IF(10=Creditos!$H$15,F555+H555,MIN(Creditos!$O$15,F555+H555)),"")</f>
        <v/>
      </c>
      <c r="J555" s="48" t="str">
        <f>IF(AND(Creditos!$C$15&lt;&gt;"",Creditos!$M$15="OK",10&lt;=Creditos!$H$15),MIN(F555,MAX(0,I555-H555)),"")</f>
        <v/>
      </c>
      <c r="K555" s="48" t="str">
        <f>IF(AND(Creditos!$C$15&lt;&gt;"",Creditos!$M$15="OK",10&lt;=Creditos!$H$15),Creditos!$J$15+Creditos!$K$15,"")</f>
        <v/>
      </c>
      <c r="L555" s="48" t="str">
        <f>IF(AND(Creditos!$C$15&lt;&gt;"",Creditos!$M$15="OK",10&lt;=Creditos!$H$15),I555+K555,"")</f>
        <v/>
      </c>
      <c r="M555" s="48" t="str">
        <f>IF(AND(Creditos!$C$15&lt;&gt;"",Creditos!$M$15="OK",10&lt;=Creditos!$H$15),MAX(0,F555-J555),"")</f>
        <v/>
      </c>
      <c r="N555" s="48" t="str">
        <f>IF(AND(Creditos!$C$15&lt;&gt;"",Creditos!$M$15="OK",10&lt;=Creditos!$H$15),SUMIFS(Pagos!$F$6:$F$305,Pagos!$C$6:$C$305,C555,Pagos!$D$6:$D$305,D555,Pagos!$E$6:$E$305,"&lt;="&amp;Supuestos!$D$6,Pagos!$H$6:$H$305,"OK"),"")</f>
        <v/>
      </c>
      <c r="O555" s="48" t="str">
        <f>IF(AND(Creditos!$C$15&lt;&gt;"",Creditos!$M$15="OK",10&lt;=Creditos!$H$15),MIN(J555,MAX(0,N555-K555-H555)),"")</f>
        <v/>
      </c>
      <c r="P555" s="48" t="str">
        <f>IF(AND(Creditos!$C$15&lt;&gt;"",Creditos!$M$15="OK",10&lt;=Creditos!$H$15),MAX(0,L555-N555),"")</f>
        <v/>
      </c>
      <c r="Q555" s="50" t="str">
        <f>IF(AND(Creditos!$C$15&lt;&gt;"",Creditos!$M$15="OK",10&lt;=Creditos!$H$15),IF(AND(E555&lt;Supuestos!$D$6,P555&gt;0.005),Supuestos!$D$6-E555,0),"")</f>
        <v/>
      </c>
      <c r="R555" s="48" t="str">
        <f>IF(AND(Creditos!$C$15&lt;&gt;"",Creditos!$M$15="OK",10&lt;=Creditos!$H$15),MAX(0,N555-L555),"")</f>
        <v/>
      </c>
      <c r="S555" s="46" t="str">
        <f>IF(AND(Creditos!$C$15&lt;&gt;"",Creditos!$M$15="OK",10&lt;=Creditos!$H$15),IF(R555&gt;0.005,"Exceso sin imputar",IF(P555&lt;=0.005,"Pagada",IF(E555&lt;Supuestos!$D$6,"Vencida",IF(E555=Supuestos!$D$6,"Vence hoy","Por vencer")))),"")</f>
        <v/>
      </c>
      <c r="T555" s="46">
        <f>IF(AND(Creditos!$C$15&lt;&gt;"",Creditos!$M$15="OK",10&lt;=Creditos!$H$15),IF(P555&gt;0.005,E555,999999),999999)</f>
        <v>999999</v>
      </c>
    </row>
    <row r="556" ht="25.5" customHeight="1">
      <c r="C556" s="46" t="str">
        <f>IF(AND(Creditos!$C$15&lt;&gt;"",Creditos!$M$15="OK",11&lt;=Creditos!$H$15),Creditos!$C$15,"")</f>
        <v/>
      </c>
      <c r="D556" s="46" t="str">
        <f>IF(AND(Creditos!$C$15&lt;&gt;"",Creditos!$M$15="OK",11&lt;=Creditos!$H$15),11,"")</f>
        <v/>
      </c>
      <c r="E556" s="47" t="str">
        <f>IF(AND(Creditos!$C$15&lt;&gt;"",Creditos!$M$15="OK",11&lt;=Creditos!$H$15),EDATE(Creditos!$I$15,10),"")</f>
        <v/>
      </c>
      <c r="F556" s="48" t="str">
        <f>IF(AND(Creditos!$C$15&lt;&gt;"",Creditos!$M$15="OK",11&lt;=Creditos!$H$15),M555,"")</f>
        <v/>
      </c>
      <c r="G556" s="49" t="str">
        <f>IF(AND(Creditos!$C$15&lt;&gt;"",Creditos!$M$15="OK",11&lt;=Creditos!$H$15),Creditos!$N$15,"")</f>
        <v/>
      </c>
      <c r="H556" s="48" t="str">
        <f>IF(AND(Creditos!$C$15&lt;&gt;"",Creditos!$M$15="OK",11&lt;=Creditos!$H$15),ROUND(F556*G556,2),"")</f>
        <v/>
      </c>
      <c r="I556" s="48" t="str">
        <f>IF(AND(Creditos!$C$15&lt;&gt;"",Creditos!$M$15="OK",11&lt;=Creditos!$H$15),IF(11=Creditos!$H$15,F556+H556,MIN(Creditos!$O$15,F556+H556)),"")</f>
        <v/>
      </c>
      <c r="J556" s="48" t="str">
        <f>IF(AND(Creditos!$C$15&lt;&gt;"",Creditos!$M$15="OK",11&lt;=Creditos!$H$15),MIN(F556,MAX(0,I556-H556)),"")</f>
        <v/>
      </c>
      <c r="K556" s="48" t="str">
        <f>IF(AND(Creditos!$C$15&lt;&gt;"",Creditos!$M$15="OK",11&lt;=Creditos!$H$15),Creditos!$J$15+Creditos!$K$15,"")</f>
        <v/>
      </c>
      <c r="L556" s="48" t="str">
        <f>IF(AND(Creditos!$C$15&lt;&gt;"",Creditos!$M$15="OK",11&lt;=Creditos!$H$15),I556+K556,"")</f>
        <v/>
      </c>
      <c r="M556" s="48" t="str">
        <f>IF(AND(Creditos!$C$15&lt;&gt;"",Creditos!$M$15="OK",11&lt;=Creditos!$H$15),MAX(0,F556-J556),"")</f>
        <v/>
      </c>
      <c r="N556" s="48" t="str">
        <f>IF(AND(Creditos!$C$15&lt;&gt;"",Creditos!$M$15="OK",11&lt;=Creditos!$H$15),SUMIFS(Pagos!$F$6:$F$305,Pagos!$C$6:$C$305,C556,Pagos!$D$6:$D$305,D556,Pagos!$E$6:$E$305,"&lt;="&amp;Supuestos!$D$6,Pagos!$H$6:$H$305,"OK"),"")</f>
        <v/>
      </c>
      <c r="O556" s="48" t="str">
        <f>IF(AND(Creditos!$C$15&lt;&gt;"",Creditos!$M$15="OK",11&lt;=Creditos!$H$15),MIN(J556,MAX(0,N556-K556-H556)),"")</f>
        <v/>
      </c>
      <c r="P556" s="48" t="str">
        <f>IF(AND(Creditos!$C$15&lt;&gt;"",Creditos!$M$15="OK",11&lt;=Creditos!$H$15),MAX(0,L556-N556),"")</f>
        <v/>
      </c>
      <c r="Q556" s="50" t="str">
        <f>IF(AND(Creditos!$C$15&lt;&gt;"",Creditos!$M$15="OK",11&lt;=Creditos!$H$15),IF(AND(E556&lt;Supuestos!$D$6,P556&gt;0.005),Supuestos!$D$6-E556,0),"")</f>
        <v/>
      </c>
      <c r="R556" s="48" t="str">
        <f>IF(AND(Creditos!$C$15&lt;&gt;"",Creditos!$M$15="OK",11&lt;=Creditos!$H$15),MAX(0,N556-L556),"")</f>
        <v/>
      </c>
      <c r="S556" s="46" t="str">
        <f>IF(AND(Creditos!$C$15&lt;&gt;"",Creditos!$M$15="OK",11&lt;=Creditos!$H$15),IF(R556&gt;0.005,"Exceso sin imputar",IF(P556&lt;=0.005,"Pagada",IF(E556&lt;Supuestos!$D$6,"Vencida",IF(E556=Supuestos!$D$6,"Vence hoy","Por vencer")))),"")</f>
        <v/>
      </c>
      <c r="T556" s="46">
        <f>IF(AND(Creditos!$C$15&lt;&gt;"",Creditos!$M$15="OK",11&lt;=Creditos!$H$15),IF(P556&gt;0.005,E556,999999),999999)</f>
        <v>999999</v>
      </c>
    </row>
    <row r="557" ht="25.5" customHeight="1">
      <c r="C557" s="46" t="str">
        <f>IF(AND(Creditos!$C$15&lt;&gt;"",Creditos!$M$15="OK",12&lt;=Creditos!$H$15),Creditos!$C$15,"")</f>
        <v/>
      </c>
      <c r="D557" s="46" t="str">
        <f>IF(AND(Creditos!$C$15&lt;&gt;"",Creditos!$M$15="OK",12&lt;=Creditos!$H$15),12,"")</f>
        <v/>
      </c>
      <c r="E557" s="47" t="str">
        <f>IF(AND(Creditos!$C$15&lt;&gt;"",Creditos!$M$15="OK",12&lt;=Creditos!$H$15),EDATE(Creditos!$I$15,11),"")</f>
        <v/>
      </c>
      <c r="F557" s="48" t="str">
        <f>IF(AND(Creditos!$C$15&lt;&gt;"",Creditos!$M$15="OK",12&lt;=Creditos!$H$15),M556,"")</f>
        <v/>
      </c>
      <c r="G557" s="49" t="str">
        <f>IF(AND(Creditos!$C$15&lt;&gt;"",Creditos!$M$15="OK",12&lt;=Creditos!$H$15),Creditos!$N$15,"")</f>
        <v/>
      </c>
      <c r="H557" s="48" t="str">
        <f>IF(AND(Creditos!$C$15&lt;&gt;"",Creditos!$M$15="OK",12&lt;=Creditos!$H$15),ROUND(F557*G557,2),"")</f>
        <v/>
      </c>
      <c r="I557" s="48" t="str">
        <f>IF(AND(Creditos!$C$15&lt;&gt;"",Creditos!$M$15="OK",12&lt;=Creditos!$H$15),IF(12=Creditos!$H$15,F557+H557,MIN(Creditos!$O$15,F557+H557)),"")</f>
        <v/>
      </c>
      <c r="J557" s="48" t="str">
        <f>IF(AND(Creditos!$C$15&lt;&gt;"",Creditos!$M$15="OK",12&lt;=Creditos!$H$15),MIN(F557,MAX(0,I557-H557)),"")</f>
        <v/>
      </c>
      <c r="K557" s="48" t="str">
        <f>IF(AND(Creditos!$C$15&lt;&gt;"",Creditos!$M$15="OK",12&lt;=Creditos!$H$15),Creditos!$J$15+Creditos!$K$15,"")</f>
        <v/>
      </c>
      <c r="L557" s="48" t="str">
        <f>IF(AND(Creditos!$C$15&lt;&gt;"",Creditos!$M$15="OK",12&lt;=Creditos!$H$15),I557+K557,"")</f>
        <v/>
      </c>
      <c r="M557" s="48" t="str">
        <f>IF(AND(Creditos!$C$15&lt;&gt;"",Creditos!$M$15="OK",12&lt;=Creditos!$H$15),MAX(0,F557-J557),"")</f>
        <v/>
      </c>
      <c r="N557" s="48" t="str">
        <f>IF(AND(Creditos!$C$15&lt;&gt;"",Creditos!$M$15="OK",12&lt;=Creditos!$H$15),SUMIFS(Pagos!$F$6:$F$305,Pagos!$C$6:$C$305,C557,Pagos!$D$6:$D$305,D557,Pagos!$E$6:$E$305,"&lt;="&amp;Supuestos!$D$6,Pagos!$H$6:$H$305,"OK"),"")</f>
        <v/>
      </c>
      <c r="O557" s="48" t="str">
        <f>IF(AND(Creditos!$C$15&lt;&gt;"",Creditos!$M$15="OK",12&lt;=Creditos!$H$15),MIN(J557,MAX(0,N557-K557-H557)),"")</f>
        <v/>
      </c>
      <c r="P557" s="48" t="str">
        <f>IF(AND(Creditos!$C$15&lt;&gt;"",Creditos!$M$15="OK",12&lt;=Creditos!$H$15),MAX(0,L557-N557),"")</f>
        <v/>
      </c>
      <c r="Q557" s="50" t="str">
        <f>IF(AND(Creditos!$C$15&lt;&gt;"",Creditos!$M$15="OK",12&lt;=Creditos!$H$15),IF(AND(E557&lt;Supuestos!$D$6,P557&gt;0.005),Supuestos!$D$6-E557,0),"")</f>
        <v/>
      </c>
      <c r="R557" s="48" t="str">
        <f>IF(AND(Creditos!$C$15&lt;&gt;"",Creditos!$M$15="OK",12&lt;=Creditos!$H$15),MAX(0,N557-L557),"")</f>
        <v/>
      </c>
      <c r="S557" s="46" t="str">
        <f>IF(AND(Creditos!$C$15&lt;&gt;"",Creditos!$M$15="OK",12&lt;=Creditos!$H$15),IF(R557&gt;0.005,"Exceso sin imputar",IF(P557&lt;=0.005,"Pagada",IF(E557&lt;Supuestos!$D$6,"Vencida",IF(E557=Supuestos!$D$6,"Vence hoy","Por vencer")))),"")</f>
        <v/>
      </c>
      <c r="T557" s="46">
        <f>IF(AND(Creditos!$C$15&lt;&gt;"",Creditos!$M$15="OK",12&lt;=Creditos!$H$15),IF(P557&gt;0.005,E557,999999),999999)</f>
        <v>999999</v>
      </c>
    </row>
    <row r="558" ht="25.5" customHeight="1">
      <c r="C558" s="46" t="str">
        <f>IF(AND(Creditos!$C$15&lt;&gt;"",Creditos!$M$15="OK",13&lt;=Creditos!$H$15),Creditos!$C$15,"")</f>
        <v/>
      </c>
      <c r="D558" s="46" t="str">
        <f>IF(AND(Creditos!$C$15&lt;&gt;"",Creditos!$M$15="OK",13&lt;=Creditos!$H$15),13,"")</f>
        <v/>
      </c>
      <c r="E558" s="47" t="str">
        <f>IF(AND(Creditos!$C$15&lt;&gt;"",Creditos!$M$15="OK",13&lt;=Creditos!$H$15),EDATE(Creditos!$I$15,12),"")</f>
        <v/>
      </c>
      <c r="F558" s="48" t="str">
        <f>IF(AND(Creditos!$C$15&lt;&gt;"",Creditos!$M$15="OK",13&lt;=Creditos!$H$15),M557,"")</f>
        <v/>
      </c>
      <c r="G558" s="49" t="str">
        <f>IF(AND(Creditos!$C$15&lt;&gt;"",Creditos!$M$15="OK",13&lt;=Creditos!$H$15),Creditos!$N$15,"")</f>
        <v/>
      </c>
      <c r="H558" s="48" t="str">
        <f>IF(AND(Creditos!$C$15&lt;&gt;"",Creditos!$M$15="OK",13&lt;=Creditos!$H$15),ROUND(F558*G558,2),"")</f>
        <v/>
      </c>
      <c r="I558" s="48" t="str">
        <f>IF(AND(Creditos!$C$15&lt;&gt;"",Creditos!$M$15="OK",13&lt;=Creditos!$H$15),IF(13=Creditos!$H$15,F558+H558,MIN(Creditos!$O$15,F558+H558)),"")</f>
        <v/>
      </c>
      <c r="J558" s="48" t="str">
        <f>IF(AND(Creditos!$C$15&lt;&gt;"",Creditos!$M$15="OK",13&lt;=Creditos!$H$15),MIN(F558,MAX(0,I558-H558)),"")</f>
        <v/>
      </c>
      <c r="K558" s="48" t="str">
        <f>IF(AND(Creditos!$C$15&lt;&gt;"",Creditos!$M$15="OK",13&lt;=Creditos!$H$15),Creditos!$J$15+Creditos!$K$15,"")</f>
        <v/>
      </c>
      <c r="L558" s="48" t="str">
        <f>IF(AND(Creditos!$C$15&lt;&gt;"",Creditos!$M$15="OK",13&lt;=Creditos!$H$15),I558+K558,"")</f>
        <v/>
      </c>
      <c r="M558" s="48" t="str">
        <f>IF(AND(Creditos!$C$15&lt;&gt;"",Creditos!$M$15="OK",13&lt;=Creditos!$H$15),MAX(0,F558-J558),"")</f>
        <v/>
      </c>
      <c r="N558" s="48" t="str">
        <f>IF(AND(Creditos!$C$15&lt;&gt;"",Creditos!$M$15="OK",13&lt;=Creditos!$H$15),SUMIFS(Pagos!$F$6:$F$305,Pagos!$C$6:$C$305,C558,Pagos!$D$6:$D$305,D558,Pagos!$E$6:$E$305,"&lt;="&amp;Supuestos!$D$6,Pagos!$H$6:$H$305,"OK"),"")</f>
        <v/>
      </c>
      <c r="O558" s="48" t="str">
        <f>IF(AND(Creditos!$C$15&lt;&gt;"",Creditos!$M$15="OK",13&lt;=Creditos!$H$15),MIN(J558,MAX(0,N558-K558-H558)),"")</f>
        <v/>
      </c>
      <c r="P558" s="48" t="str">
        <f>IF(AND(Creditos!$C$15&lt;&gt;"",Creditos!$M$15="OK",13&lt;=Creditos!$H$15),MAX(0,L558-N558),"")</f>
        <v/>
      </c>
      <c r="Q558" s="50" t="str">
        <f>IF(AND(Creditos!$C$15&lt;&gt;"",Creditos!$M$15="OK",13&lt;=Creditos!$H$15),IF(AND(E558&lt;Supuestos!$D$6,P558&gt;0.005),Supuestos!$D$6-E558,0),"")</f>
        <v/>
      </c>
      <c r="R558" s="48" t="str">
        <f>IF(AND(Creditos!$C$15&lt;&gt;"",Creditos!$M$15="OK",13&lt;=Creditos!$H$15),MAX(0,N558-L558),"")</f>
        <v/>
      </c>
      <c r="S558" s="46" t="str">
        <f>IF(AND(Creditos!$C$15&lt;&gt;"",Creditos!$M$15="OK",13&lt;=Creditos!$H$15),IF(R558&gt;0.005,"Exceso sin imputar",IF(P558&lt;=0.005,"Pagada",IF(E558&lt;Supuestos!$D$6,"Vencida",IF(E558=Supuestos!$D$6,"Vence hoy","Por vencer")))),"")</f>
        <v/>
      </c>
      <c r="T558" s="46">
        <f>IF(AND(Creditos!$C$15&lt;&gt;"",Creditos!$M$15="OK",13&lt;=Creditos!$H$15),IF(P558&gt;0.005,E558,999999),999999)</f>
        <v>999999</v>
      </c>
    </row>
    <row r="559" ht="25.5" customHeight="1">
      <c r="C559" s="46" t="str">
        <f>IF(AND(Creditos!$C$15&lt;&gt;"",Creditos!$M$15="OK",14&lt;=Creditos!$H$15),Creditos!$C$15,"")</f>
        <v/>
      </c>
      <c r="D559" s="46" t="str">
        <f>IF(AND(Creditos!$C$15&lt;&gt;"",Creditos!$M$15="OK",14&lt;=Creditos!$H$15),14,"")</f>
        <v/>
      </c>
      <c r="E559" s="47" t="str">
        <f>IF(AND(Creditos!$C$15&lt;&gt;"",Creditos!$M$15="OK",14&lt;=Creditos!$H$15),EDATE(Creditos!$I$15,13),"")</f>
        <v/>
      </c>
      <c r="F559" s="48" t="str">
        <f>IF(AND(Creditos!$C$15&lt;&gt;"",Creditos!$M$15="OK",14&lt;=Creditos!$H$15),M558,"")</f>
        <v/>
      </c>
      <c r="G559" s="49" t="str">
        <f>IF(AND(Creditos!$C$15&lt;&gt;"",Creditos!$M$15="OK",14&lt;=Creditos!$H$15),Creditos!$N$15,"")</f>
        <v/>
      </c>
      <c r="H559" s="48" t="str">
        <f>IF(AND(Creditos!$C$15&lt;&gt;"",Creditos!$M$15="OK",14&lt;=Creditos!$H$15),ROUND(F559*G559,2),"")</f>
        <v/>
      </c>
      <c r="I559" s="48" t="str">
        <f>IF(AND(Creditos!$C$15&lt;&gt;"",Creditos!$M$15="OK",14&lt;=Creditos!$H$15),IF(14=Creditos!$H$15,F559+H559,MIN(Creditos!$O$15,F559+H559)),"")</f>
        <v/>
      </c>
      <c r="J559" s="48" t="str">
        <f>IF(AND(Creditos!$C$15&lt;&gt;"",Creditos!$M$15="OK",14&lt;=Creditos!$H$15),MIN(F559,MAX(0,I559-H559)),"")</f>
        <v/>
      </c>
      <c r="K559" s="48" t="str">
        <f>IF(AND(Creditos!$C$15&lt;&gt;"",Creditos!$M$15="OK",14&lt;=Creditos!$H$15),Creditos!$J$15+Creditos!$K$15,"")</f>
        <v/>
      </c>
      <c r="L559" s="48" t="str">
        <f>IF(AND(Creditos!$C$15&lt;&gt;"",Creditos!$M$15="OK",14&lt;=Creditos!$H$15),I559+K559,"")</f>
        <v/>
      </c>
      <c r="M559" s="48" t="str">
        <f>IF(AND(Creditos!$C$15&lt;&gt;"",Creditos!$M$15="OK",14&lt;=Creditos!$H$15),MAX(0,F559-J559),"")</f>
        <v/>
      </c>
      <c r="N559" s="48" t="str">
        <f>IF(AND(Creditos!$C$15&lt;&gt;"",Creditos!$M$15="OK",14&lt;=Creditos!$H$15),SUMIFS(Pagos!$F$6:$F$305,Pagos!$C$6:$C$305,C559,Pagos!$D$6:$D$305,D559,Pagos!$E$6:$E$305,"&lt;="&amp;Supuestos!$D$6,Pagos!$H$6:$H$305,"OK"),"")</f>
        <v/>
      </c>
      <c r="O559" s="48" t="str">
        <f>IF(AND(Creditos!$C$15&lt;&gt;"",Creditos!$M$15="OK",14&lt;=Creditos!$H$15),MIN(J559,MAX(0,N559-K559-H559)),"")</f>
        <v/>
      </c>
      <c r="P559" s="48" t="str">
        <f>IF(AND(Creditos!$C$15&lt;&gt;"",Creditos!$M$15="OK",14&lt;=Creditos!$H$15),MAX(0,L559-N559),"")</f>
        <v/>
      </c>
      <c r="Q559" s="50" t="str">
        <f>IF(AND(Creditos!$C$15&lt;&gt;"",Creditos!$M$15="OK",14&lt;=Creditos!$H$15),IF(AND(E559&lt;Supuestos!$D$6,P559&gt;0.005),Supuestos!$D$6-E559,0),"")</f>
        <v/>
      </c>
      <c r="R559" s="48" t="str">
        <f>IF(AND(Creditos!$C$15&lt;&gt;"",Creditos!$M$15="OK",14&lt;=Creditos!$H$15),MAX(0,N559-L559),"")</f>
        <v/>
      </c>
      <c r="S559" s="46" t="str">
        <f>IF(AND(Creditos!$C$15&lt;&gt;"",Creditos!$M$15="OK",14&lt;=Creditos!$H$15),IF(R559&gt;0.005,"Exceso sin imputar",IF(P559&lt;=0.005,"Pagada",IF(E559&lt;Supuestos!$D$6,"Vencida",IF(E559=Supuestos!$D$6,"Vence hoy","Por vencer")))),"")</f>
        <v/>
      </c>
      <c r="T559" s="46">
        <f>IF(AND(Creditos!$C$15&lt;&gt;"",Creditos!$M$15="OK",14&lt;=Creditos!$H$15),IF(P559&gt;0.005,E559,999999),999999)</f>
        <v>999999</v>
      </c>
    </row>
    <row r="560" ht="25.5" customHeight="1">
      <c r="C560" s="46" t="str">
        <f>IF(AND(Creditos!$C$15&lt;&gt;"",Creditos!$M$15="OK",15&lt;=Creditos!$H$15),Creditos!$C$15,"")</f>
        <v/>
      </c>
      <c r="D560" s="46" t="str">
        <f>IF(AND(Creditos!$C$15&lt;&gt;"",Creditos!$M$15="OK",15&lt;=Creditos!$H$15),15,"")</f>
        <v/>
      </c>
      <c r="E560" s="47" t="str">
        <f>IF(AND(Creditos!$C$15&lt;&gt;"",Creditos!$M$15="OK",15&lt;=Creditos!$H$15),EDATE(Creditos!$I$15,14),"")</f>
        <v/>
      </c>
      <c r="F560" s="48" t="str">
        <f>IF(AND(Creditos!$C$15&lt;&gt;"",Creditos!$M$15="OK",15&lt;=Creditos!$H$15),M559,"")</f>
        <v/>
      </c>
      <c r="G560" s="49" t="str">
        <f>IF(AND(Creditos!$C$15&lt;&gt;"",Creditos!$M$15="OK",15&lt;=Creditos!$H$15),Creditos!$N$15,"")</f>
        <v/>
      </c>
      <c r="H560" s="48" t="str">
        <f>IF(AND(Creditos!$C$15&lt;&gt;"",Creditos!$M$15="OK",15&lt;=Creditos!$H$15),ROUND(F560*G560,2),"")</f>
        <v/>
      </c>
      <c r="I560" s="48" t="str">
        <f>IF(AND(Creditos!$C$15&lt;&gt;"",Creditos!$M$15="OK",15&lt;=Creditos!$H$15),IF(15=Creditos!$H$15,F560+H560,MIN(Creditos!$O$15,F560+H560)),"")</f>
        <v/>
      </c>
      <c r="J560" s="48" t="str">
        <f>IF(AND(Creditos!$C$15&lt;&gt;"",Creditos!$M$15="OK",15&lt;=Creditos!$H$15),MIN(F560,MAX(0,I560-H560)),"")</f>
        <v/>
      </c>
      <c r="K560" s="48" t="str">
        <f>IF(AND(Creditos!$C$15&lt;&gt;"",Creditos!$M$15="OK",15&lt;=Creditos!$H$15),Creditos!$J$15+Creditos!$K$15,"")</f>
        <v/>
      </c>
      <c r="L560" s="48" t="str">
        <f>IF(AND(Creditos!$C$15&lt;&gt;"",Creditos!$M$15="OK",15&lt;=Creditos!$H$15),I560+K560,"")</f>
        <v/>
      </c>
      <c r="M560" s="48" t="str">
        <f>IF(AND(Creditos!$C$15&lt;&gt;"",Creditos!$M$15="OK",15&lt;=Creditos!$H$15),MAX(0,F560-J560),"")</f>
        <v/>
      </c>
      <c r="N560" s="48" t="str">
        <f>IF(AND(Creditos!$C$15&lt;&gt;"",Creditos!$M$15="OK",15&lt;=Creditos!$H$15),SUMIFS(Pagos!$F$6:$F$305,Pagos!$C$6:$C$305,C560,Pagos!$D$6:$D$305,D560,Pagos!$E$6:$E$305,"&lt;="&amp;Supuestos!$D$6,Pagos!$H$6:$H$305,"OK"),"")</f>
        <v/>
      </c>
      <c r="O560" s="48" t="str">
        <f>IF(AND(Creditos!$C$15&lt;&gt;"",Creditos!$M$15="OK",15&lt;=Creditos!$H$15),MIN(J560,MAX(0,N560-K560-H560)),"")</f>
        <v/>
      </c>
      <c r="P560" s="48" t="str">
        <f>IF(AND(Creditos!$C$15&lt;&gt;"",Creditos!$M$15="OK",15&lt;=Creditos!$H$15),MAX(0,L560-N560),"")</f>
        <v/>
      </c>
      <c r="Q560" s="50" t="str">
        <f>IF(AND(Creditos!$C$15&lt;&gt;"",Creditos!$M$15="OK",15&lt;=Creditos!$H$15),IF(AND(E560&lt;Supuestos!$D$6,P560&gt;0.005),Supuestos!$D$6-E560,0),"")</f>
        <v/>
      </c>
      <c r="R560" s="48" t="str">
        <f>IF(AND(Creditos!$C$15&lt;&gt;"",Creditos!$M$15="OK",15&lt;=Creditos!$H$15),MAX(0,N560-L560),"")</f>
        <v/>
      </c>
      <c r="S560" s="46" t="str">
        <f>IF(AND(Creditos!$C$15&lt;&gt;"",Creditos!$M$15="OK",15&lt;=Creditos!$H$15),IF(R560&gt;0.005,"Exceso sin imputar",IF(P560&lt;=0.005,"Pagada",IF(E560&lt;Supuestos!$D$6,"Vencida",IF(E560=Supuestos!$D$6,"Vence hoy","Por vencer")))),"")</f>
        <v/>
      </c>
      <c r="T560" s="46">
        <f>IF(AND(Creditos!$C$15&lt;&gt;"",Creditos!$M$15="OK",15&lt;=Creditos!$H$15),IF(P560&gt;0.005,E560,999999),999999)</f>
        <v>999999</v>
      </c>
    </row>
    <row r="561" ht="25.5" customHeight="1">
      <c r="C561" s="46" t="str">
        <f>IF(AND(Creditos!$C$15&lt;&gt;"",Creditos!$M$15="OK",16&lt;=Creditos!$H$15),Creditos!$C$15,"")</f>
        <v/>
      </c>
      <c r="D561" s="46" t="str">
        <f>IF(AND(Creditos!$C$15&lt;&gt;"",Creditos!$M$15="OK",16&lt;=Creditos!$H$15),16,"")</f>
        <v/>
      </c>
      <c r="E561" s="47" t="str">
        <f>IF(AND(Creditos!$C$15&lt;&gt;"",Creditos!$M$15="OK",16&lt;=Creditos!$H$15),EDATE(Creditos!$I$15,15),"")</f>
        <v/>
      </c>
      <c r="F561" s="48" t="str">
        <f>IF(AND(Creditos!$C$15&lt;&gt;"",Creditos!$M$15="OK",16&lt;=Creditos!$H$15),M560,"")</f>
        <v/>
      </c>
      <c r="G561" s="49" t="str">
        <f>IF(AND(Creditos!$C$15&lt;&gt;"",Creditos!$M$15="OK",16&lt;=Creditos!$H$15),Creditos!$N$15,"")</f>
        <v/>
      </c>
      <c r="H561" s="48" t="str">
        <f>IF(AND(Creditos!$C$15&lt;&gt;"",Creditos!$M$15="OK",16&lt;=Creditos!$H$15),ROUND(F561*G561,2),"")</f>
        <v/>
      </c>
      <c r="I561" s="48" t="str">
        <f>IF(AND(Creditos!$C$15&lt;&gt;"",Creditos!$M$15="OK",16&lt;=Creditos!$H$15),IF(16=Creditos!$H$15,F561+H561,MIN(Creditos!$O$15,F561+H561)),"")</f>
        <v/>
      </c>
      <c r="J561" s="48" t="str">
        <f>IF(AND(Creditos!$C$15&lt;&gt;"",Creditos!$M$15="OK",16&lt;=Creditos!$H$15),MIN(F561,MAX(0,I561-H561)),"")</f>
        <v/>
      </c>
      <c r="K561" s="48" t="str">
        <f>IF(AND(Creditos!$C$15&lt;&gt;"",Creditos!$M$15="OK",16&lt;=Creditos!$H$15),Creditos!$J$15+Creditos!$K$15,"")</f>
        <v/>
      </c>
      <c r="L561" s="48" t="str">
        <f>IF(AND(Creditos!$C$15&lt;&gt;"",Creditos!$M$15="OK",16&lt;=Creditos!$H$15),I561+K561,"")</f>
        <v/>
      </c>
      <c r="M561" s="48" t="str">
        <f>IF(AND(Creditos!$C$15&lt;&gt;"",Creditos!$M$15="OK",16&lt;=Creditos!$H$15),MAX(0,F561-J561),"")</f>
        <v/>
      </c>
      <c r="N561" s="48" t="str">
        <f>IF(AND(Creditos!$C$15&lt;&gt;"",Creditos!$M$15="OK",16&lt;=Creditos!$H$15),SUMIFS(Pagos!$F$6:$F$305,Pagos!$C$6:$C$305,C561,Pagos!$D$6:$D$305,D561,Pagos!$E$6:$E$305,"&lt;="&amp;Supuestos!$D$6,Pagos!$H$6:$H$305,"OK"),"")</f>
        <v/>
      </c>
      <c r="O561" s="48" t="str">
        <f>IF(AND(Creditos!$C$15&lt;&gt;"",Creditos!$M$15="OK",16&lt;=Creditos!$H$15),MIN(J561,MAX(0,N561-K561-H561)),"")</f>
        <v/>
      </c>
      <c r="P561" s="48" t="str">
        <f>IF(AND(Creditos!$C$15&lt;&gt;"",Creditos!$M$15="OK",16&lt;=Creditos!$H$15),MAX(0,L561-N561),"")</f>
        <v/>
      </c>
      <c r="Q561" s="50" t="str">
        <f>IF(AND(Creditos!$C$15&lt;&gt;"",Creditos!$M$15="OK",16&lt;=Creditos!$H$15),IF(AND(E561&lt;Supuestos!$D$6,P561&gt;0.005),Supuestos!$D$6-E561,0),"")</f>
        <v/>
      </c>
      <c r="R561" s="48" t="str">
        <f>IF(AND(Creditos!$C$15&lt;&gt;"",Creditos!$M$15="OK",16&lt;=Creditos!$H$15),MAX(0,N561-L561),"")</f>
        <v/>
      </c>
      <c r="S561" s="46" t="str">
        <f>IF(AND(Creditos!$C$15&lt;&gt;"",Creditos!$M$15="OK",16&lt;=Creditos!$H$15),IF(R561&gt;0.005,"Exceso sin imputar",IF(P561&lt;=0.005,"Pagada",IF(E561&lt;Supuestos!$D$6,"Vencida",IF(E561=Supuestos!$D$6,"Vence hoy","Por vencer")))),"")</f>
        <v/>
      </c>
      <c r="T561" s="46">
        <f>IF(AND(Creditos!$C$15&lt;&gt;"",Creditos!$M$15="OK",16&lt;=Creditos!$H$15),IF(P561&gt;0.005,E561,999999),999999)</f>
        <v>999999</v>
      </c>
    </row>
    <row r="562" ht="25.5" customHeight="1">
      <c r="C562" s="46" t="str">
        <f>IF(AND(Creditos!$C$15&lt;&gt;"",Creditos!$M$15="OK",17&lt;=Creditos!$H$15),Creditos!$C$15,"")</f>
        <v/>
      </c>
      <c r="D562" s="46" t="str">
        <f>IF(AND(Creditos!$C$15&lt;&gt;"",Creditos!$M$15="OK",17&lt;=Creditos!$H$15),17,"")</f>
        <v/>
      </c>
      <c r="E562" s="47" t="str">
        <f>IF(AND(Creditos!$C$15&lt;&gt;"",Creditos!$M$15="OK",17&lt;=Creditos!$H$15),EDATE(Creditos!$I$15,16),"")</f>
        <v/>
      </c>
      <c r="F562" s="48" t="str">
        <f>IF(AND(Creditos!$C$15&lt;&gt;"",Creditos!$M$15="OK",17&lt;=Creditos!$H$15),M561,"")</f>
        <v/>
      </c>
      <c r="G562" s="49" t="str">
        <f>IF(AND(Creditos!$C$15&lt;&gt;"",Creditos!$M$15="OK",17&lt;=Creditos!$H$15),Creditos!$N$15,"")</f>
        <v/>
      </c>
      <c r="H562" s="48" t="str">
        <f>IF(AND(Creditos!$C$15&lt;&gt;"",Creditos!$M$15="OK",17&lt;=Creditos!$H$15),ROUND(F562*G562,2),"")</f>
        <v/>
      </c>
      <c r="I562" s="48" t="str">
        <f>IF(AND(Creditos!$C$15&lt;&gt;"",Creditos!$M$15="OK",17&lt;=Creditos!$H$15),IF(17=Creditos!$H$15,F562+H562,MIN(Creditos!$O$15,F562+H562)),"")</f>
        <v/>
      </c>
      <c r="J562" s="48" t="str">
        <f>IF(AND(Creditos!$C$15&lt;&gt;"",Creditos!$M$15="OK",17&lt;=Creditos!$H$15),MIN(F562,MAX(0,I562-H562)),"")</f>
        <v/>
      </c>
      <c r="K562" s="48" t="str">
        <f>IF(AND(Creditos!$C$15&lt;&gt;"",Creditos!$M$15="OK",17&lt;=Creditos!$H$15),Creditos!$J$15+Creditos!$K$15,"")</f>
        <v/>
      </c>
      <c r="L562" s="48" t="str">
        <f>IF(AND(Creditos!$C$15&lt;&gt;"",Creditos!$M$15="OK",17&lt;=Creditos!$H$15),I562+K562,"")</f>
        <v/>
      </c>
      <c r="M562" s="48" t="str">
        <f>IF(AND(Creditos!$C$15&lt;&gt;"",Creditos!$M$15="OK",17&lt;=Creditos!$H$15),MAX(0,F562-J562),"")</f>
        <v/>
      </c>
      <c r="N562" s="48" t="str">
        <f>IF(AND(Creditos!$C$15&lt;&gt;"",Creditos!$M$15="OK",17&lt;=Creditos!$H$15),SUMIFS(Pagos!$F$6:$F$305,Pagos!$C$6:$C$305,C562,Pagos!$D$6:$D$305,D562,Pagos!$E$6:$E$305,"&lt;="&amp;Supuestos!$D$6,Pagos!$H$6:$H$305,"OK"),"")</f>
        <v/>
      </c>
      <c r="O562" s="48" t="str">
        <f>IF(AND(Creditos!$C$15&lt;&gt;"",Creditos!$M$15="OK",17&lt;=Creditos!$H$15),MIN(J562,MAX(0,N562-K562-H562)),"")</f>
        <v/>
      </c>
      <c r="P562" s="48" t="str">
        <f>IF(AND(Creditos!$C$15&lt;&gt;"",Creditos!$M$15="OK",17&lt;=Creditos!$H$15),MAX(0,L562-N562),"")</f>
        <v/>
      </c>
      <c r="Q562" s="50" t="str">
        <f>IF(AND(Creditos!$C$15&lt;&gt;"",Creditos!$M$15="OK",17&lt;=Creditos!$H$15),IF(AND(E562&lt;Supuestos!$D$6,P562&gt;0.005),Supuestos!$D$6-E562,0),"")</f>
        <v/>
      </c>
      <c r="R562" s="48" t="str">
        <f>IF(AND(Creditos!$C$15&lt;&gt;"",Creditos!$M$15="OK",17&lt;=Creditos!$H$15),MAX(0,N562-L562),"")</f>
        <v/>
      </c>
      <c r="S562" s="46" t="str">
        <f>IF(AND(Creditos!$C$15&lt;&gt;"",Creditos!$M$15="OK",17&lt;=Creditos!$H$15),IF(R562&gt;0.005,"Exceso sin imputar",IF(P562&lt;=0.005,"Pagada",IF(E562&lt;Supuestos!$D$6,"Vencida",IF(E562=Supuestos!$D$6,"Vence hoy","Por vencer")))),"")</f>
        <v/>
      </c>
      <c r="T562" s="46">
        <f>IF(AND(Creditos!$C$15&lt;&gt;"",Creditos!$M$15="OK",17&lt;=Creditos!$H$15),IF(P562&gt;0.005,E562,999999),999999)</f>
        <v>999999</v>
      </c>
    </row>
    <row r="563" ht="25.5" customHeight="1">
      <c r="C563" s="46" t="str">
        <f>IF(AND(Creditos!$C$15&lt;&gt;"",Creditos!$M$15="OK",18&lt;=Creditos!$H$15),Creditos!$C$15,"")</f>
        <v/>
      </c>
      <c r="D563" s="46" t="str">
        <f>IF(AND(Creditos!$C$15&lt;&gt;"",Creditos!$M$15="OK",18&lt;=Creditos!$H$15),18,"")</f>
        <v/>
      </c>
      <c r="E563" s="47" t="str">
        <f>IF(AND(Creditos!$C$15&lt;&gt;"",Creditos!$M$15="OK",18&lt;=Creditos!$H$15),EDATE(Creditos!$I$15,17),"")</f>
        <v/>
      </c>
      <c r="F563" s="48" t="str">
        <f>IF(AND(Creditos!$C$15&lt;&gt;"",Creditos!$M$15="OK",18&lt;=Creditos!$H$15),M562,"")</f>
        <v/>
      </c>
      <c r="G563" s="49" t="str">
        <f>IF(AND(Creditos!$C$15&lt;&gt;"",Creditos!$M$15="OK",18&lt;=Creditos!$H$15),Creditos!$N$15,"")</f>
        <v/>
      </c>
      <c r="H563" s="48" t="str">
        <f>IF(AND(Creditos!$C$15&lt;&gt;"",Creditos!$M$15="OK",18&lt;=Creditos!$H$15),ROUND(F563*G563,2),"")</f>
        <v/>
      </c>
      <c r="I563" s="48" t="str">
        <f>IF(AND(Creditos!$C$15&lt;&gt;"",Creditos!$M$15="OK",18&lt;=Creditos!$H$15),IF(18=Creditos!$H$15,F563+H563,MIN(Creditos!$O$15,F563+H563)),"")</f>
        <v/>
      </c>
      <c r="J563" s="48" t="str">
        <f>IF(AND(Creditos!$C$15&lt;&gt;"",Creditos!$M$15="OK",18&lt;=Creditos!$H$15),MIN(F563,MAX(0,I563-H563)),"")</f>
        <v/>
      </c>
      <c r="K563" s="48" t="str">
        <f>IF(AND(Creditos!$C$15&lt;&gt;"",Creditos!$M$15="OK",18&lt;=Creditos!$H$15),Creditos!$J$15+Creditos!$K$15,"")</f>
        <v/>
      </c>
      <c r="L563" s="48" t="str">
        <f>IF(AND(Creditos!$C$15&lt;&gt;"",Creditos!$M$15="OK",18&lt;=Creditos!$H$15),I563+K563,"")</f>
        <v/>
      </c>
      <c r="M563" s="48" t="str">
        <f>IF(AND(Creditos!$C$15&lt;&gt;"",Creditos!$M$15="OK",18&lt;=Creditos!$H$15),MAX(0,F563-J563),"")</f>
        <v/>
      </c>
      <c r="N563" s="48" t="str">
        <f>IF(AND(Creditos!$C$15&lt;&gt;"",Creditos!$M$15="OK",18&lt;=Creditos!$H$15),SUMIFS(Pagos!$F$6:$F$305,Pagos!$C$6:$C$305,C563,Pagos!$D$6:$D$305,D563,Pagos!$E$6:$E$305,"&lt;="&amp;Supuestos!$D$6,Pagos!$H$6:$H$305,"OK"),"")</f>
        <v/>
      </c>
      <c r="O563" s="48" t="str">
        <f>IF(AND(Creditos!$C$15&lt;&gt;"",Creditos!$M$15="OK",18&lt;=Creditos!$H$15),MIN(J563,MAX(0,N563-K563-H563)),"")</f>
        <v/>
      </c>
      <c r="P563" s="48" t="str">
        <f>IF(AND(Creditos!$C$15&lt;&gt;"",Creditos!$M$15="OK",18&lt;=Creditos!$H$15),MAX(0,L563-N563),"")</f>
        <v/>
      </c>
      <c r="Q563" s="50" t="str">
        <f>IF(AND(Creditos!$C$15&lt;&gt;"",Creditos!$M$15="OK",18&lt;=Creditos!$H$15),IF(AND(E563&lt;Supuestos!$D$6,P563&gt;0.005),Supuestos!$D$6-E563,0),"")</f>
        <v/>
      </c>
      <c r="R563" s="48" t="str">
        <f>IF(AND(Creditos!$C$15&lt;&gt;"",Creditos!$M$15="OK",18&lt;=Creditos!$H$15),MAX(0,N563-L563),"")</f>
        <v/>
      </c>
      <c r="S563" s="46" t="str">
        <f>IF(AND(Creditos!$C$15&lt;&gt;"",Creditos!$M$15="OK",18&lt;=Creditos!$H$15),IF(R563&gt;0.005,"Exceso sin imputar",IF(P563&lt;=0.005,"Pagada",IF(E563&lt;Supuestos!$D$6,"Vencida",IF(E563=Supuestos!$D$6,"Vence hoy","Por vencer")))),"")</f>
        <v/>
      </c>
      <c r="T563" s="46">
        <f>IF(AND(Creditos!$C$15&lt;&gt;"",Creditos!$M$15="OK",18&lt;=Creditos!$H$15),IF(P563&gt;0.005,E563,999999),999999)</f>
        <v>999999</v>
      </c>
    </row>
    <row r="564" ht="25.5" customHeight="1">
      <c r="C564" s="46" t="str">
        <f>IF(AND(Creditos!$C$15&lt;&gt;"",Creditos!$M$15="OK",19&lt;=Creditos!$H$15),Creditos!$C$15,"")</f>
        <v/>
      </c>
      <c r="D564" s="46" t="str">
        <f>IF(AND(Creditos!$C$15&lt;&gt;"",Creditos!$M$15="OK",19&lt;=Creditos!$H$15),19,"")</f>
        <v/>
      </c>
      <c r="E564" s="47" t="str">
        <f>IF(AND(Creditos!$C$15&lt;&gt;"",Creditos!$M$15="OK",19&lt;=Creditos!$H$15),EDATE(Creditos!$I$15,18),"")</f>
        <v/>
      </c>
      <c r="F564" s="48" t="str">
        <f>IF(AND(Creditos!$C$15&lt;&gt;"",Creditos!$M$15="OK",19&lt;=Creditos!$H$15),M563,"")</f>
        <v/>
      </c>
      <c r="G564" s="49" t="str">
        <f>IF(AND(Creditos!$C$15&lt;&gt;"",Creditos!$M$15="OK",19&lt;=Creditos!$H$15),Creditos!$N$15,"")</f>
        <v/>
      </c>
      <c r="H564" s="48" t="str">
        <f>IF(AND(Creditos!$C$15&lt;&gt;"",Creditos!$M$15="OK",19&lt;=Creditos!$H$15),ROUND(F564*G564,2),"")</f>
        <v/>
      </c>
      <c r="I564" s="48" t="str">
        <f>IF(AND(Creditos!$C$15&lt;&gt;"",Creditos!$M$15="OK",19&lt;=Creditos!$H$15),IF(19=Creditos!$H$15,F564+H564,MIN(Creditos!$O$15,F564+H564)),"")</f>
        <v/>
      </c>
      <c r="J564" s="48" t="str">
        <f>IF(AND(Creditos!$C$15&lt;&gt;"",Creditos!$M$15="OK",19&lt;=Creditos!$H$15),MIN(F564,MAX(0,I564-H564)),"")</f>
        <v/>
      </c>
      <c r="K564" s="48" t="str">
        <f>IF(AND(Creditos!$C$15&lt;&gt;"",Creditos!$M$15="OK",19&lt;=Creditos!$H$15),Creditos!$J$15+Creditos!$K$15,"")</f>
        <v/>
      </c>
      <c r="L564" s="48" t="str">
        <f>IF(AND(Creditos!$C$15&lt;&gt;"",Creditos!$M$15="OK",19&lt;=Creditos!$H$15),I564+K564,"")</f>
        <v/>
      </c>
      <c r="M564" s="48" t="str">
        <f>IF(AND(Creditos!$C$15&lt;&gt;"",Creditos!$M$15="OK",19&lt;=Creditos!$H$15),MAX(0,F564-J564),"")</f>
        <v/>
      </c>
      <c r="N564" s="48" t="str">
        <f>IF(AND(Creditos!$C$15&lt;&gt;"",Creditos!$M$15="OK",19&lt;=Creditos!$H$15),SUMIFS(Pagos!$F$6:$F$305,Pagos!$C$6:$C$305,C564,Pagos!$D$6:$D$305,D564,Pagos!$E$6:$E$305,"&lt;="&amp;Supuestos!$D$6,Pagos!$H$6:$H$305,"OK"),"")</f>
        <v/>
      </c>
      <c r="O564" s="48" t="str">
        <f>IF(AND(Creditos!$C$15&lt;&gt;"",Creditos!$M$15="OK",19&lt;=Creditos!$H$15),MIN(J564,MAX(0,N564-K564-H564)),"")</f>
        <v/>
      </c>
      <c r="P564" s="48" t="str">
        <f>IF(AND(Creditos!$C$15&lt;&gt;"",Creditos!$M$15="OK",19&lt;=Creditos!$H$15),MAX(0,L564-N564),"")</f>
        <v/>
      </c>
      <c r="Q564" s="50" t="str">
        <f>IF(AND(Creditos!$C$15&lt;&gt;"",Creditos!$M$15="OK",19&lt;=Creditos!$H$15),IF(AND(E564&lt;Supuestos!$D$6,P564&gt;0.005),Supuestos!$D$6-E564,0),"")</f>
        <v/>
      </c>
      <c r="R564" s="48" t="str">
        <f>IF(AND(Creditos!$C$15&lt;&gt;"",Creditos!$M$15="OK",19&lt;=Creditos!$H$15),MAX(0,N564-L564),"")</f>
        <v/>
      </c>
      <c r="S564" s="46" t="str">
        <f>IF(AND(Creditos!$C$15&lt;&gt;"",Creditos!$M$15="OK",19&lt;=Creditos!$H$15),IF(R564&gt;0.005,"Exceso sin imputar",IF(P564&lt;=0.005,"Pagada",IF(E564&lt;Supuestos!$D$6,"Vencida",IF(E564=Supuestos!$D$6,"Vence hoy","Por vencer")))),"")</f>
        <v/>
      </c>
      <c r="T564" s="46">
        <f>IF(AND(Creditos!$C$15&lt;&gt;"",Creditos!$M$15="OK",19&lt;=Creditos!$H$15),IF(P564&gt;0.005,E564,999999),999999)</f>
        <v>999999</v>
      </c>
    </row>
    <row r="565" ht="25.5" customHeight="1">
      <c r="C565" s="46" t="str">
        <f>IF(AND(Creditos!$C$15&lt;&gt;"",Creditos!$M$15="OK",20&lt;=Creditos!$H$15),Creditos!$C$15,"")</f>
        <v/>
      </c>
      <c r="D565" s="46" t="str">
        <f>IF(AND(Creditos!$C$15&lt;&gt;"",Creditos!$M$15="OK",20&lt;=Creditos!$H$15),20,"")</f>
        <v/>
      </c>
      <c r="E565" s="47" t="str">
        <f>IF(AND(Creditos!$C$15&lt;&gt;"",Creditos!$M$15="OK",20&lt;=Creditos!$H$15),EDATE(Creditos!$I$15,19),"")</f>
        <v/>
      </c>
      <c r="F565" s="48" t="str">
        <f>IF(AND(Creditos!$C$15&lt;&gt;"",Creditos!$M$15="OK",20&lt;=Creditos!$H$15),M564,"")</f>
        <v/>
      </c>
      <c r="G565" s="49" t="str">
        <f>IF(AND(Creditos!$C$15&lt;&gt;"",Creditos!$M$15="OK",20&lt;=Creditos!$H$15),Creditos!$N$15,"")</f>
        <v/>
      </c>
      <c r="H565" s="48" t="str">
        <f>IF(AND(Creditos!$C$15&lt;&gt;"",Creditos!$M$15="OK",20&lt;=Creditos!$H$15),ROUND(F565*G565,2),"")</f>
        <v/>
      </c>
      <c r="I565" s="48" t="str">
        <f>IF(AND(Creditos!$C$15&lt;&gt;"",Creditos!$M$15="OK",20&lt;=Creditos!$H$15),IF(20=Creditos!$H$15,F565+H565,MIN(Creditos!$O$15,F565+H565)),"")</f>
        <v/>
      </c>
      <c r="J565" s="48" t="str">
        <f>IF(AND(Creditos!$C$15&lt;&gt;"",Creditos!$M$15="OK",20&lt;=Creditos!$H$15),MIN(F565,MAX(0,I565-H565)),"")</f>
        <v/>
      </c>
      <c r="K565" s="48" t="str">
        <f>IF(AND(Creditos!$C$15&lt;&gt;"",Creditos!$M$15="OK",20&lt;=Creditos!$H$15),Creditos!$J$15+Creditos!$K$15,"")</f>
        <v/>
      </c>
      <c r="L565" s="48" t="str">
        <f>IF(AND(Creditos!$C$15&lt;&gt;"",Creditos!$M$15="OK",20&lt;=Creditos!$H$15),I565+K565,"")</f>
        <v/>
      </c>
      <c r="M565" s="48" t="str">
        <f>IF(AND(Creditos!$C$15&lt;&gt;"",Creditos!$M$15="OK",20&lt;=Creditos!$H$15),MAX(0,F565-J565),"")</f>
        <v/>
      </c>
      <c r="N565" s="48" t="str">
        <f>IF(AND(Creditos!$C$15&lt;&gt;"",Creditos!$M$15="OK",20&lt;=Creditos!$H$15),SUMIFS(Pagos!$F$6:$F$305,Pagos!$C$6:$C$305,C565,Pagos!$D$6:$D$305,D565,Pagos!$E$6:$E$305,"&lt;="&amp;Supuestos!$D$6,Pagos!$H$6:$H$305,"OK"),"")</f>
        <v/>
      </c>
      <c r="O565" s="48" t="str">
        <f>IF(AND(Creditos!$C$15&lt;&gt;"",Creditos!$M$15="OK",20&lt;=Creditos!$H$15),MIN(J565,MAX(0,N565-K565-H565)),"")</f>
        <v/>
      </c>
      <c r="P565" s="48" t="str">
        <f>IF(AND(Creditos!$C$15&lt;&gt;"",Creditos!$M$15="OK",20&lt;=Creditos!$H$15),MAX(0,L565-N565),"")</f>
        <v/>
      </c>
      <c r="Q565" s="50" t="str">
        <f>IF(AND(Creditos!$C$15&lt;&gt;"",Creditos!$M$15="OK",20&lt;=Creditos!$H$15),IF(AND(E565&lt;Supuestos!$D$6,P565&gt;0.005),Supuestos!$D$6-E565,0),"")</f>
        <v/>
      </c>
      <c r="R565" s="48" t="str">
        <f>IF(AND(Creditos!$C$15&lt;&gt;"",Creditos!$M$15="OK",20&lt;=Creditos!$H$15),MAX(0,N565-L565),"")</f>
        <v/>
      </c>
      <c r="S565" s="46" t="str">
        <f>IF(AND(Creditos!$C$15&lt;&gt;"",Creditos!$M$15="OK",20&lt;=Creditos!$H$15),IF(R565&gt;0.005,"Exceso sin imputar",IF(P565&lt;=0.005,"Pagada",IF(E565&lt;Supuestos!$D$6,"Vencida",IF(E565=Supuestos!$D$6,"Vence hoy","Por vencer")))),"")</f>
        <v/>
      </c>
      <c r="T565" s="46">
        <f>IF(AND(Creditos!$C$15&lt;&gt;"",Creditos!$M$15="OK",20&lt;=Creditos!$H$15),IF(P565&gt;0.005,E565,999999),999999)</f>
        <v>999999</v>
      </c>
    </row>
    <row r="566" ht="25.5" customHeight="1">
      <c r="C566" s="46" t="str">
        <f>IF(AND(Creditos!$C$15&lt;&gt;"",Creditos!$M$15="OK",21&lt;=Creditos!$H$15),Creditos!$C$15,"")</f>
        <v/>
      </c>
      <c r="D566" s="46" t="str">
        <f>IF(AND(Creditos!$C$15&lt;&gt;"",Creditos!$M$15="OK",21&lt;=Creditos!$H$15),21,"")</f>
        <v/>
      </c>
      <c r="E566" s="47" t="str">
        <f>IF(AND(Creditos!$C$15&lt;&gt;"",Creditos!$M$15="OK",21&lt;=Creditos!$H$15),EDATE(Creditos!$I$15,20),"")</f>
        <v/>
      </c>
      <c r="F566" s="48" t="str">
        <f>IF(AND(Creditos!$C$15&lt;&gt;"",Creditos!$M$15="OK",21&lt;=Creditos!$H$15),M565,"")</f>
        <v/>
      </c>
      <c r="G566" s="49" t="str">
        <f>IF(AND(Creditos!$C$15&lt;&gt;"",Creditos!$M$15="OK",21&lt;=Creditos!$H$15),Creditos!$N$15,"")</f>
        <v/>
      </c>
      <c r="H566" s="48" t="str">
        <f>IF(AND(Creditos!$C$15&lt;&gt;"",Creditos!$M$15="OK",21&lt;=Creditos!$H$15),ROUND(F566*G566,2),"")</f>
        <v/>
      </c>
      <c r="I566" s="48" t="str">
        <f>IF(AND(Creditos!$C$15&lt;&gt;"",Creditos!$M$15="OK",21&lt;=Creditos!$H$15),IF(21=Creditos!$H$15,F566+H566,MIN(Creditos!$O$15,F566+H566)),"")</f>
        <v/>
      </c>
      <c r="J566" s="48" t="str">
        <f>IF(AND(Creditos!$C$15&lt;&gt;"",Creditos!$M$15="OK",21&lt;=Creditos!$H$15),MIN(F566,MAX(0,I566-H566)),"")</f>
        <v/>
      </c>
      <c r="K566" s="48" t="str">
        <f>IF(AND(Creditos!$C$15&lt;&gt;"",Creditos!$M$15="OK",21&lt;=Creditos!$H$15),Creditos!$J$15+Creditos!$K$15,"")</f>
        <v/>
      </c>
      <c r="L566" s="48" t="str">
        <f>IF(AND(Creditos!$C$15&lt;&gt;"",Creditos!$M$15="OK",21&lt;=Creditos!$H$15),I566+K566,"")</f>
        <v/>
      </c>
      <c r="M566" s="48" t="str">
        <f>IF(AND(Creditos!$C$15&lt;&gt;"",Creditos!$M$15="OK",21&lt;=Creditos!$H$15),MAX(0,F566-J566),"")</f>
        <v/>
      </c>
      <c r="N566" s="48" t="str">
        <f>IF(AND(Creditos!$C$15&lt;&gt;"",Creditos!$M$15="OK",21&lt;=Creditos!$H$15),SUMIFS(Pagos!$F$6:$F$305,Pagos!$C$6:$C$305,C566,Pagos!$D$6:$D$305,D566,Pagos!$E$6:$E$305,"&lt;="&amp;Supuestos!$D$6,Pagos!$H$6:$H$305,"OK"),"")</f>
        <v/>
      </c>
      <c r="O566" s="48" t="str">
        <f>IF(AND(Creditos!$C$15&lt;&gt;"",Creditos!$M$15="OK",21&lt;=Creditos!$H$15),MIN(J566,MAX(0,N566-K566-H566)),"")</f>
        <v/>
      </c>
      <c r="P566" s="48" t="str">
        <f>IF(AND(Creditos!$C$15&lt;&gt;"",Creditos!$M$15="OK",21&lt;=Creditos!$H$15),MAX(0,L566-N566),"")</f>
        <v/>
      </c>
      <c r="Q566" s="50" t="str">
        <f>IF(AND(Creditos!$C$15&lt;&gt;"",Creditos!$M$15="OK",21&lt;=Creditos!$H$15),IF(AND(E566&lt;Supuestos!$D$6,P566&gt;0.005),Supuestos!$D$6-E566,0),"")</f>
        <v/>
      </c>
      <c r="R566" s="48" t="str">
        <f>IF(AND(Creditos!$C$15&lt;&gt;"",Creditos!$M$15="OK",21&lt;=Creditos!$H$15),MAX(0,N566-L566),"")</f>
        <v/>
      </c>
      <c r="S566" s="46" t="str">
        <f>IF(AND(Creditos!$C$15&lt;&gt;"",Creditos!$M$15="OK",21&lt;=Creditos!$H$15),IF(R566&gt;0.005,"Exceso sin imputar",IF(P566&lt;=0.005,"Pagada",IF(E566&lt;Supuestos!$D$6,"Vencida",IF(E566=Supuestos!$D$6,"Vence hoy","Por vencer")))),"")</f>
        <v/>
      </c>
      <c r="T566" s="46">
        <f>IF(AND(Creditos!$C$15&lt;&gt;"",Creditos!$M$15="OK",21&lt;=Creditos!$H$15),IF(P566&gt;0.005,E566,999999),999999)</f>
        <v>999999</v>
      </c>
    </row>
    <row r="567" ht="25.5" customHeight="1">
      <c r="C567" s="46" t="str">
        <f>IF(AND(Creditos!$C$15&lt;&gt;"",Creditos!$M$15="OK",22&lt;=Creditos!$H$15),Creditos!$C$15,"")</f>
        <v/>
      </c>
      <c r="D567" s="46" t="str">
        <f>IF(AND(Creditos!$C$15&lt;&gt;"",Creditos!$M$15="OK",22&lt;=Creditos!$H$15),22,"")</f>
        <v/>
      </c>
      <c r="E567" s="47" t="str">
        <f>IF(AND(Creditos!$C$15&lt;&gt;"",Creditos!$M$15="OK",22&lt;=Creditos!$H$15),EDATE(Creditos!$I$15,21),"")</f>
        <v/>
      </c>
      <c r="F567" s="48" t="str">
        <f>IF(AND(Creditos!$C$15&lt;&gt;"",Creditos!$M$15="OK",22&lt;=Creditos!$H$15),M566,"")</f>
        <v/>
      </c>
      <c r="G567" s="49" t="str">
        <f>IF(AND(Creditos!$C$15&lt;&gt;"",Creditos!$M$15="OK",22&lt;=Creditos!$H$15),Creditos!$N$15,"")</f>
        <v/>
      </c>
      <c r="H567" s="48" t="str">
        <f>IF(AND(Creditos!$C$15&lt;&gt;"",Creditos!$M$15="OK",22&lt;=Creditos!$H$15),ROUND(F567*G567,2),"")</f>
        <v/>
      </c>
      <c r="I567" s="48" t="str">
        <f>IF(AND(Creditos!$C$15&lt;&gt;"",Creditos!$M$15="OK",22&lt;=Creditos!$H$15),IF(22=Creditos!$H$15,F567+H567,MIN(Creditos!$O$15,F567+H567)),"")</f>
        <v/>
      </c>
      <c r="J567" s="48" t="str">
        <f>IF(AND(Creditos!$C$15&lt;&gt;"",Creditos!$M$15="OK",22&lt;=Creditos!$H$15),MIN(F567,MAX(0,I567-H567)),"")</f>
        <v/>
      </c>
      <c r="K567" s="48" t="str">
        <f>IF(AND(Creditos!$C$15&lt;&gt;"",Creditos!$M$15="OK",22&lt;=Creditos!$H$15),Creditos!$J$15+Creditos!$K$15,"")</f>
        <v/>
      </c>
      <c r="L567" s="48" t="str">
        <f>IF(AND(Creditos!$C$15&lt;&gt;"",Creditos!$M$15="OK",22&lt;=Creditos!$H$15),I567+K567,"")</f>
        <v/>
      </c>
      <c r="M567" s="48" t="str">
        <f>IF(AND(Creditos!$C$15&lt;&gt;"",Creditos!$M$15="OK",22&lt;=Creditos!$H$15),MAX(0,F567-J567),"")</f>
        <v/>
      </c>
      <c r="N567" s="48" t="str">
        <f>IF(AND(Creditos!$C$15&lt;&gt;"",Creditos!$M$15="OK",22&lt;=Creditos!$H$15),SUMIFS(Pagos!$F$6:$F$305,Pagos!$C$6:$C$305,C567,Pagos!$D$6:$D$305,D567,Pagos!$E$6:$E$305,"&lt;="&amp;Supuestos!$D$6,Pagos!$H$6:$H$305,"OK"),"")</f>
        <v/>
      </c>
      <c r="O567" s="48" t="str">
        <f>IF(AND(Creditos!$C$15&lt;&gt;"",Creditos!$M$15="OK",22&lt;=Creditos!$H$15),MIN(J567,MAX(0,N567-K567-H567)),"")</f>
        <v/>
      </c>
      <c r="P567" s="48" t="str">
        <f>IF(AND(Creditos!$C$15&lt;&gt;"",Creditos!$M$15="OK",22&lt;=Creditos!$H$15),MAX(0,L567-N567),"")</f>
        <v/>
      </c>
      <c r="Q567" s="50" t="str">
        <f>IF(AND(Creditos!$C$15&lt;&gt;"",Creditos!$M$15="OK",22&lt;=Creditos!$H$15),IF(AND(E567&lt;Supuestos!$D$6,P567&gt;0.005),Supuestos!$D$6-E567,0),"")</f>
        <v/>
      </c>
      <c r="R567" s="48" t="str">
        <f>IF(AND(Creditos!$C$15&lt;&gt;"",Creditos!$M$15="OK",22&lt;=Creditos!$H$15),MAX(0,N567-L567),"")</f>
        <v/>
      </c>
      <c r="S567" s="46" t="str">
        <f>IF(AND(Creditos!$C$15&lt;&gt;"",Creditos!$M$15="OK",22&lt;=Creditos!$H$15),IF(R567&gt;0.005,"Exceso sin imputar",IF(P567&lt;=0.005,"Pagada",IF(E567&lt;Supuestos!$D$6,"Vencida",IF(E567=Supuestos!$D$6,"Vence hoy","Por vencer")))),"")</f>
        <v/>
      </c>
      <c r="T567" s="46">
        <f>IF(AND(Creditos!$C$15&lt;&gt;"",Creditos!$M$15="OK",22&lt;=Creditos!$H$15),IF(P567&gt;0.005,E567,999999),999999)</f>
        <v>999999</v>
      </c>
    </row>
    <row r="568" ht="25.5" customHeight="1">
      <c r="C568" s="46" t="str">
        <f>IF(AND(Creditos!$C$15&lt;&gt;"",Creditos!$M$15="OK",23&lt;=Creditos!$H$15),Creditos!$C$15,"")</f>
        <v/>
      </c>
      <c r="D568" s="46" t="str">
        <f>IF(AND(Creditos!$C$15&lt;&gt;"",Creditos!$M$15="OK",23&lt;=Creditos!$H$15),23,"")</f>
        <v/>
      </c>
      <c r="E568" s="47" t="str">
        <f>IF(AND(Creditos!$C$15&lt;&gt;"",Creditos!$M$15="OK",23&lt;=Creditos!$H$15),EDATE(Creditos!$I$15,22),"")</f>
        <v/>
      </c>
      <c r="F568" s="48" t="str">
        <f>IF(AND(Creditos!$C$15&lt;&gt;"",Creditos!$M$15="OK",23&lt;=Creditos!$H$15),M567,"")</f>
        <v/>
      </c>
      <c r="G568" s="49" t="str">
        <f>IF(AND(Creditos!$C$15&lt;&gt;"",Creditos!$M$15="OK",23&lt;=Creditos!$H$15),Creditos!$N$15,"")</f>
        <v/>
      </c>
      <c r="H568" s="48" t="str">
        <f>IF(AND(Creditos!$C$15&lt;&gt;"",Creditos!$M$15="OK",23&lt;=Creditos!$H$15),ROUND(F568*G568,2),"")</f>
        <v/>
      </c>
      <c r="I568" s="48" t="str">
        <f>IF(AND(Creditos!$C$15&lt;&gt;"",Creditos!$M$15="OK",23&lt;=Creditos!$H$15),IF(23=Creditos!$H$15,F568+H568,MIN(Creditos!$O$15,F568+H568)),"")</f>
        <v/>
      </c>
      <c r="J568" s="48" t="str">
        <f>IF(AND(Creditos!$C$15&lt;&gt;"",Creditos!$M$15="OK",23&lt;=Creditos!$H$15),MIN(F568,MAX(0,I568-H568)),"")</f>
        <v/>
      </c>
      <c r="K568" s="48" t="str">
        <f>IF(AND(Creditos!$C$15&lt;&gt;"",Creditos!$M$15="OK",23&lt;=Creditos!$H$15),Creditos!$J$15+Creditos!$K$15,"")</f>
        <v/>
      </c>
      <c r="L568" s="48" t="str">
        <f>IF(AND(Creditos!$C$15&lt;&gt;"",Creditos!$M$15="OK",23&lt;=Creditos!$H$15),I568+K568,"")</f>
        <v/>
      </c>
      <c r="M568" s="48" t="str">
        <f>IF(AND(Creditos!$C$15&lt;&gt;"",Creditos!$M$15="OK",23&lt;=Creditos!$H$15),MAX(0,F568-J568),"")</f>
        <v/>
      </c>
      <c r="N568" s="48" t="str">
        <f>IF(AND(Creditos!$C$15&lt;&gt;"",Creditos!$M$15="OK",23&lt;=Creditos!$H$15),SUMIFS(Pagos!$F$6:$F$305,Pagos!$C$6:$C$305,C568,Pagos!$D$6:$D$305,D568,Pagos!$E$6:$E$305,"&lt;="&amp;Supuestos!$D$6,Pagos!$H$6:$H$305,"OK"),"")</f>
        <v/>
      </c>
      <c r="O568" s="48" t="str">
        <f>IF(AND(Creditos!$C$15&lt;&gt;"",Creditos!$M$15="OK",23&lt;=Creditos!$H$15),MIN(J568,MAX(0,N568-K568-H568)),"")</f>
        <v/>
      </c>
      <c r="P568" s="48" t="str">
        <f>IF(AND(Creditos!$C$15&lt;&gt;"",Creditos!$M$15="OK",23&lt;=Creditos!$H$15),MAX(0,L568-N568),"")</f>
        <v/>
      </c>
      <c r="Q568" s="50" t="str">
        <f>IF(AND(Creditos!$C$15&lt;&gt;"",Creditos!$M$15="OK",23&lt;=Creditos!$H$15),IF(AND(E568&lt;Supuestos!$D$6,P568&gt;0.005),Supuestos!$D$6-E568,0),"")</f>
        <v/>
      </c>
      <c r="R568" s="48" t="str">
        <f>IF(AND(Creditos!$C$15&lt;&gt;"",Creditos!$M$15="OK",23&lt;=Creditos!$H$15),MAX(0,N568-L568),"")</f>
        <v/>
      </c>
      <c r="S568" s="46" t="str">
        <f>IF(AND(Creditos!$C$15&lt;&gt;"",Creditos!$M$15="OK",23&lt;=Creditos!$H$15),IF(R568&gt;0.005,"Exceso sin imputar",IF(P568&lt;=0.005,"Pagada",IF(E568&lt;Supuestos!$D$6,"Vencida",IF(E568=Supuestos!$D$6,"Vence hoy","Por vencer")))),"")</f>
        <v/>
      </c>
      <c r="T568" s="46">
        <f>IF(AND(Creditos!$C$15&lt;&gt;"",Creditos!$M$15="OK",23&lt;=Creditos!$H$15),IF(P568&gt;0.005,E568,999999),999999)</f>
        <v>999999</v>
      </c>
    </row>
    <row r="569" ht="25.5" customHeight="1">
      <c r="C569" s="46" t="str">
        <f>IF(AND(Creditos!$C$15&lt;&gt;"",Creditos!$M$15="OK",24&lt;=Creditos!$H$15),Creditos!$C$15,"")</f>
        <v/>
      </c>
      <c r="D569" s="46" t="str">
        <f>IF(AND(Creditos!$C$15&lt;&gt;"",Creditos!$M$15="OK",24&lt;=Creditos!$H$15),24,"")</f>
        <v/>
      </c>
      <c r="E569" s="47" t="str">
        <f>IF(AND(Creditos!$C$15&lt;&gt;"",Creditos!$M$15="OK",24&lt;=Creditos!$H$15),EDATE(Creditos!$I$15,23),"")</f>
        <v/>
      </c>
      <c r="F569" s="48" t="str">
        <f>IF(AND(Creditos!$C$15&lt;&gt;"",Creditos!$M$15="OK",24&lt;=Creditos!$H$15),M568,"")</f>
        <v/>
      </c>
      <c r="G569" s="49" t="str">
        <f>IF(AND(Creditos!$C$15&lt;&gt;"",Creditos!$M$15="OK",24&lt;=Creditos!$H$15),Creditos!$N$15,"")</f>
        <v/>
      </c>
      <c r="H569" s="48" t="str">
        <f>IF(AND(Creditos!$C$15&lt;&gt;"",Creditos!$M$15="OK",24&lt;=Creditos!$H$15),ROUND(F569*G569,2),"")</f>
        <v/>
      </c>
      <c r="I569" s="48" t="str">
        <f>IF(AND(Creditos!$C$15&lt;&gt;"",Creditos!$M$15="OK",24&lt;=Creditos!$H$15),IF(24=Creditos!$H$15,F569+H569,MIN(Creditos!$O$15,F569+H569)),"")</f>
        <v/>
      </c>
      <c r="J569" s="48" t="str">
        <f>IF(AND(Creditos!$C$15&lt;&gt;"",Creditos!$M$15="OK",24&lt;=Creditos!$H$15),MIN(F569,MAX(0,I569-H569)),"")</f>
        <v/>
      </c>
      <c r="K569" s="48" t="str">
        <f>IF(AND(Creditos!$C$15&lt;&gt;"",Creditos!$M$15="OK",24&lt;=Creditos!$H$15),Creditos!$J$15+Creditos!$K$15,"")</f>
        <v/>
      </c>
      <c r="L569" s="48" t="str">
        <f>IF(AND(Creditos!$C$15&lt;&gt;"",Creditos!$M$15="OK",24&lt;=Creditos!$H$15),I569+K569,"")</f>
        <v/>
      </c>
      <c r="M569" s="48" t="str">
        <f>IF(AND(Creditos!$C$15&lt;&gt;"",Creditos!$M$15="OK",24&lt;=Creditos!$H$15),MAX(0,F569-J569),"")</f>
        <v/>
      </c>
      <c r="N569" s="48" t="str">
        <f>IF(AND(Creditos!$C$15&lt;&gt;"",Creditos!$M$15="OK",24&lt;=Creditos!$H$15),SUMIFS(Pagos!$F$6:$F$305,Pagos!$C$6:$C$305,C569,Pagos!$D$6:$D$305,D569,Pagos!$E$6:$E$305,"&lt;="&amp;Supuestos!$D$6,Pagos!$H$6:$H$305,"OK"),"")</f>
        <v/>
      </c>
      <c r="O569" s="48" t="str">
        <f>IF(AND(Creditos!$C$15&lt;&gt;"",Creditos!$M$15="OK",24&lt;=Creditos!$H$15),MIN(J569,MAX(0,N569-K569-H569)),"")</f>
        <v/>
      </c>
      <c r="P569" s="48" t="str">
        <f>IF(AND(Creditos!$C$15&lt;&gt;"",Creditos!$M$15="OK",24&lt;=Creditos!$H$15),MAX(0,L569-N569),"")</f>
        <v/>
      </c>
      <c r="Q569" s="50" t="str">
        <f>IF(AND(Creditos!$C$15&lt;&gt;"",Creditos!$M$15="OK",24&lt;=Creditos!$H$15),IF(AND(E569&lt;Supuestos!$D$6,P569&gt;0.005),Supuestos!$D$6-E569,0),"")</f>
        <v/>
      </c>
      <c r="R569" s="48" t="str">
        <f>IF(AND(Creditos!$C$15&lt;&gt;"",Creditos!$M$15="OK",24&lt;=Creditos!$H$15),MAX(0,N569-L569),"")</f>
        <v/>
      </c>
      <c r="S569" s="46" t="str">
        <f>IF(AND(Creditos!$C$15&lt;&gt;"",Creditos!$M$15="OK",24&lt;=Creditos!$H$15),IF(R569&gt;0.005,"Exceso sin imputar",IF(P569&lt;=0.005,"Pagada",IF(E569&lt;Supuestos!$D$6,"Vencida",IF(E569=Supuestos!$D$6,"Vence hoy","Por vencer")))),"")</f>
        <v/>
      </c>
      <c r="T569" s="46">
        <f>IF(AND(Creditos!$C$15&lt;&gt;"",Creditos!$M$15="OK",24&lt;=Creditos!$H$15),IF(P569&gt;0.005,E569,999999),999999)</f>
        <v>999999</v>
      </c>
    </row>
    <row r="570" ht="25.5" customHeight="1">
      <c r="C570" s="46" t="str">
        <f>IF(AND(Creditos!$C$15&lt;&gt;"",Creditos!$M$15="OK",25&lt;=Creditos!$H$15),Creditos!$C$15,"")</f>
        <v/>
      </c>
      <c r="D570" s="46" t="str">
        <f>IF(AND(Creditos!$C$15&lt;&gt;"",Creditos!$M$15="OK",25&lt;=Creditos!$H$15),25,"")</f>
        <v/>
      </c>
      <c r="E570" s="47" t="str">
        <f>IF(AND(Creditos!$C$15&lt;&gt;"",Creditos!$M$15="OK",25&lt;=Creditos!$H$15),EDATE(Creditos!$I$15,24),"")</f>
        <v/>
      </c>
      <c r="F570" s="48" t="str">
        <f>IF(AND(Creditos!$C$15&lt;&gt;"",Creditos!$M$15="OK",25&lt;=Creditos!$H$15),M569,"")</f>
        <v/>
      </c>
      <c r="G570" s="49" t="str">
        <f>IF(AND(Creditos!$C$15&lt;&gt;"",Creditos!$M$15="OK",25&lt;=Creditos!$H$15),Creditos!$N$15,"")</f>
        <v/>
      </c>
      <c r="H570" s="48" t="str">
        <f>IF(AND(Creditos!$C$15&lt;&gt;"",Creditos!$M$15="OK",25&lt;=Creditos!$H$15),ROUND(F570*G570,2),"")</f>
        <v/>
      </c>
      <c r="I570" s="48" t="str">
        <f>IF(AND(Creditos!$C$15&lt;&gt;"",Creditos!$M$15="OK",25&lt;=Creditos!$H$15),IF(25=Creditos!$H$15,F570+H570,MIN(Creditos!$O$15,F570+H570)),"")</f>
        <v/>
      </c>
      <c r="J570" s="48" t="str">
        <f>IF(AND(Creditos!$C$15&lt;&gt;"",Creditos!$M$15="OK",25&lt;=Creditos!$H$15),MIN(F570,MAX(0,I570-H570)),"")</f>
        <v/>
      </c>
      <c r="K570" s="48" t="str">
        <f>IF(AND(Creditos!$C$15&lt;&gt;"",Creditos!$M$15="OK",25&lt;=Creditos!$H$15),Creditos!$J$15+Creditos!$K$15,"")</f>
        <v/>
      </c>
      <c r="L570" s="48" t="str">
        <f>IF(AND(Creditos!$C$15&lt;&gt;"",Creditos!$M$15="OK",25&lt;=Creditos!$H$15),I570+K570,"")</f>
        <v/>
      </c>
      <c r="M570" s="48" t="str">
        <f>IF(AND(Creditos!$C$15&lt;&gt;"",Creditos!$M$15="OK",25&lt;=Creditos!$H$15),MAX(0,F570-J570),"")</f>
        <v/>
      </c>
      <c r="N570" s="48" t="str">
        <f>IF(AND(Creditos!$C$15&lt;&gt;"",Creditos!$M$15="OK",25&lt;=Creditos!$H$15),SUMIFS(Pagos!$F$6:$F$305,Pagos!$C$6:$C$305,C570,Pagos!$D$6:$D$305,D570,Pagos!$E$6:$E$305,"&lt;="&amp;Supuestos!$D$6,Pagos!$H$6:$H$305,"OK"),"")</f>
        <v/>
      </c>
      <c r="O570" s="48" t="str">
        <f>IF(AND(Creditos!$C$15&lt;&gt;"",Creditos!$M$15="OK",25&lt;=Creditos!$H$15),MIN(J570,MAX(0,N570-K570-H570)),"")</f>
        <v/>
      </c>
      <c r="P570" s="48" t="str">
        <f>IF(AND(Creditos!$C$15&lt;&gt;"",Creditos!$M$15="OK",25&lt;=Creditos!$H$15),MAX(0,L570-N570),"")</f>
        <v/>
      </c>
      <c r="Q570" s="50" t="str">
        <f>IF(AND(Creditos!$C$15&lt;&gt;"",Creditos!$M$15="OK",25&lt;=Creditos!$H$15),IF(AND(E570&lt;Supuestos!$D$6,P570&gt;0.005),Supuestos!$D$6-E570,0),"")</f>
        <v/>
      </c>
      <c r="R570" s="48" t="str">
        <f>IF(AND(Creditos!$C$15&lt;&gt;"",Creditos!$M$15="OK",25&lt;=Creditos!$H$15),MAX(0,N570-L570),"")</f>
        <v/>
      </c>
      <c r="S570" s="46" t="str">
        <f>IF(AND(Creditos!$C$15&lt;&gt;"",Creditos!$M$15="OK",25&lt;=Creditos!$H$15),IF(R570&gt;0.005,"Exceso sin imputar",IF(P570&lt;=0.005,"Pagada",IF(E570&lt;Supuestos!$D$6,"Vencida",IF(E570=Supuestos!$D$6,"Vence hoy","Por vencer")))),"")</f>
        <v/>
      </c>
      <c r="T570" s="46">
        <f>IF(AND(Creditos!$C$15&lt;&gt;"",Creditos!$M$15="OK",25&lt;=Creditos!$H$15),IF(P570&gt;0.005,E570,999999),999999)</f>
        <v>999999</v>
      </c>
    </row>
    <row r="571" ht="25.5" customHeight="1">
      <c r="C571" s="46" t="str">
        <f>IF(AND(Creditos!$C$15&lt;&gt;"",Creditos!$M$15="OK",26&lt;=Creditos!$H$15),Creditos!$C$15,"")</f>
        <v/>
      </c>
      <c r="D571" s="46" t="str">
        <f>IF(AND(Creditos!$C$15&lt;&gt;"",Creditos!$M$15="OK",26&lt;=Creditos!$H$15),26,"")</f>
        <v/>
      </c>
      <c r="E571" s="47" t="str">
        <f>IF(AND(Creditos!$C$15&lt;&gt;"",Creditos!$M$15="OK",26&lt;=Creditos!$H$15),EDATE(Creditos!$I$15,25),"")</f>
        <v/>
      </c>
      <c r="F571" s="48" t="str">
        <f>IF(AND(Creditos!$C$15&lt;&gt;"",Creditos!$M$15="OK",26&lt;=Creditos!$H$15),M570,"")</f>
        <v/>
      </c>
      <c r="G571" s="49" t="str">
        <f>IF(AND(Creditos!$C$15&lt;&gt;"",Creditos!$M$15="OK",26&lt;=Creditos!$H$15),Creditos!$N$15,"")</f>
        <v/>
      </c>
      <c r="H571" s="48" t="str">
        <f>IF(AND(Creditos!$C$15&lt;&gt;"",Creditos!$M$15="OK",26&lt;=Creditos!$H$15),ROUND(F571*G571,2),"")</f>
        <v/>
      </c>
      <c r="I571" s="48" t="str">
        <f>IF(AND(Creditos!$C$15&lt;&gt;"",Creditos!$M$15="OK",26&lt;=Creditos!$H$15),IF(26=Creditos!$H$15,F571+H571,MIN(Creditos!$O$15,F571+H571)),"")</f>
        <v/>
      </c>
      <c r="J571" s="48" t="str">
        <f>IF(AND(Creditos!$C$15&lt;&gt;"",Creditos!$M$15="OK",26&lt;=Creditos!$H$15),MIN(F571,MAX(0,I571-H571)),"")</f>
        <v/>
      </c>
      <c r="K571" s="48" t="str">
        <f>IF(AND(Creditos!$C$15&lt;&gt;"",Creditos!$M$15="OK",26&lt;=Creditos!$H$15),Creditos!$J$15+Creditos!$K$15,"")</f>
        <v/>
      </c>
      <c r="L571" s="48" t="str">
        <f>IF(AND(Creditos!$C$15&lt;&gt;"",Creditos!$M$15="OK",26&lt;=Creditos!$H$15),I571+K571,"")</f>
        <v/>
      </c>
      <c r="M571" s="48" t="str">
        <f>IF(AND(Creditos!$C$15&lt;&gt;"",Creditos!$M$15="OK",26&lt;=Creditos!$H$15),MAX(0,F571-J571),"")</f>
        <v/>
      </c>
      <c r="N571" s="48" t="str">
        <f>IF(AND(Creditos!$C$15&lt;&gt;"",Creditos!$M$15="OK",26&lt;=Creditos!$H$15),SUMIFS(Pagos!$F$6:$F$305,Pagos!$C$6:$C$305,C571,Pagos!$D$6:$D$305,D571,Pagos!$E$6:$E$305,"&lt;="&amp;Supuestos!$D$6,Pagos!$H$6:$H$305,"OK"),"")</f>
        <v/>
      </c>
      <c r="O571" s="48" t="str">
        <f>IF(AND(Creditos!$C$15&lt;&gt;"",Creditos!$M$15="OK",26&lt;=Creditos!$H$15),MIN(J571,MAX(0,N571-K571-H571)),"")</f>
        <v/>
      </c>
      <c r="P571" s="48" t="str">
        <f>IF(AND(Creditos!$C$15&lt;&gt;"",Creditos!$M$15="OK",26&lt;=Creditos!$H$15),MAX(0,L571-N571),"")</f>
        <v/>
      </c>
      <c r="Q571" s="50" t="str">
        <f>IF(AND(Creditos!$C$15&lt;&gt;"",Creditos!$M$15="OK",26&lt;=Creditos!$H$15),IF(AND(E571&lt;Supuestos!$D$6,P571&gt;0.005),Supuestos!$D$6-E571,0),"")</f>
        <v/>
      </c>
      <c r="R571" s="48" t="str">
        <f>IF(AND(Creditos!$C$15&lt;&gt;"",Creditos!$M$15="OK",26&lt;=Creditos!$H$15),MAX(0,N571-L571),"")</f>
        <v/>
      </c>
      <c r="S571" s="46" t="str">
        <f>IF(AND(Creditos!$C$15&lt;&gt;"",Creditos!$M$15="OK",26&lt;=Creditos!$H$15),IF(R571&gt;0.005,"Exceso sin imputar",IF(P571&lt;=0.005,"Pagada",IF(E571&lt;Supuestos!$D$6,"Vencida",IF(E571=Supuestos!$D$6,"Vence hoy","Por vencer")))),"")</f>
        <v/>
      </c>
      <c r="T571" s="46">
        <f>IF(AND(Creditos!$C$15&lt;&gt;"",Creditos!$M$15="OK",26&lt;=Creditos!$H$15),IF(P571&gt;0.005,E571,999999),999999)</f>
        <v>999999</v>
      </c>
    </row>
    <row r="572" ht="25.5" customHeight="1">
      <c r="C572" s="46" t="str">
        <f>IF(AND(Creditos!$C$15&lt;&gt;"",Creditos!$M$15="OK",27&lt;=Creditos!$H$15),Creditos!$C$15,"")</f>
        <v/>
      </c>
      <c r="D572" s="46" t="str">
        <f>IF(AND(Creditos!$C$15&lt;&gt;"",Creditos!$M$15="OK",27&lt;=Creditos!$H$15),27,"")</f>
        <v/>
      </c>
      <c r="E572" s="47" t="str">
        <f>IF(AND(Creditos!$C$15&lt;&gt;"",Creditos!$M$15="OK",27&lt;=Creditos!$H$15),EDATE(Creditos!$I$15,26),"")</f>
        <v/>
      </c>
      <c r="F572" s="48" t="str">
        <f>IF(AND(Creditos!$C$15&lt;&gt;"",Creditos!$M$15="OK",27&lt;=Creditos!$H$15),M571,"")</f>
        <v/>
      </c>
      <c r="G572" s="49" t="str">
        <f>IF(AND(Creditos!$C$15&lt;&gt;"",Creditos!$M$15="OK",27&lt;=Creditos!$H$15),Creditos!$N$15,"")</f>
        <v/>
      </c>
      <c r="H572" s="48" t="str">
        <f>IF(AND(Creditos!$C$15&lt;&gt;"",Creditos!$M$15="OK",27&lt;=Creditos!$H$15),ROUND(F572*G572,2),"")</f>
        <v/>
      </c>
      <c r="I572" s="48" t="str">
        <f>IF(AND(Creditos!$C$15&lt;&gt;"",Creditos!$M$15="OK",27&lt;=Creditos!$H$15),IF(27=Creditos!$H$15,F572+H572,MIN(Creditos!$O$15,F572+H572)),"")</f>
        <v/>
      </c>
      <c r="J572" s="48" t="str">
        <f>IF(AND(Creditos!$C$15&lt;&gt;"",Creditos!$M$15="OK",27&lt;=Creditos!$H$15),MIN(F572,MAX(0,I572-H572)),"")</f>
        <v/>
      </c>
      <c r="K572" s="48" t="str">
        <f>IF(AND(Creditos!$C$15&lt;&gt;"",Creditos!$M$15="OK",27&lt;=Creditos!$H$15),Creditos!$J$15+Creditos!$K$15,"")</f>
        <v/>
      </c>
      <c r="L572" s="48" t="str">
        <f>IF(AND(Creditos!$C$15&lt;&gt;"",Creditos!$M$15="OK",27&lt;=Creditos!$H$15),I572+K572,"")</f>
        <v/>
      </c>
      <c r="M572" s="48" t="str">
        <f>IF(AND(Creditos!$C$15&lt;&gt;"",Creditos!$M$15="OK",27&lt;=Creditos!$H$15),MAX(0,F572-J572),"")</f>
        <v/>
      </c>
      <c r="N572" s="48" t="str">
        <f>IF(AND(Creditos!$C$15&lt;&gt;"",Creditos!$M$15="OK",27&lt;=Creditos!$H$15),SUMIFS(Pagos!$F$6:$F$305,Pagos!$C$6:$C$305,C572,Pagos!$D$6:$D$305,D572,Pagos!$E$6:$E$305,"&lt;="&amp;Supuestos!$D$6,Pagos!$H$6:$H$305,"OK"),"")</f>
        <v/>
      </c>
      <c r="O572" s="48" t="str">
        <f>IF(AND(Creditos!$C$15&lt;&gt;"",Creditos!$M$15="OK",27&lt;=Creditos!$H$15),MIN(J572,MAX(0,N572-K572-H572)),"")</f>
        <v/>
      </c>
      <c r="P572" s="48" t="str">
        <f>IF(AND(Creditos!$C$15&lt;&gt;"",Creditos!$M$15="OK",27&lt;=Creditos!$H$15),MAX(0,L572-N572),"")</f>
        <v/>
      </c>
      <c r="Q572" s="50" t="str">
        <f>IF(AND(Creditos!$C$15&lt;&gt;"",Creditos!$M$15="OK",27&lt;=Creditos!$H$15),IF(AND(E572&lt;Supuestos!$D$6,P572&gt;0.005),Supuestos!$D$6-E572,0),"")</f>
        <v/>
      </c>
      <c r="R572" s="48" t="str">
        <f>IF(AND(Creditos!$C$15&lt;&gt;"",Creditos!$M$15="OK",27&lt;=Creditos!$H$15),MAX(0,N572-L572),"")</f>
        <v/>
      </c>
      <c r="S572" s="46" t="str">
        <f>IF(AND(Creditos!$C$15&lt;&gt;"",Creditos!$M$15="OK",27&lt;=Creditos!$H$15),IF(R572&gt;0.005,"Exceso sin imputar",IF(P572&lt;=0.005,"Pagada",IF(E572&lt;Supuestos!$D$6,"Vencida",IF(E572=Supuestos!$D$6,"Vence hoy","Por vencer")))),"")</f>
        <v/>
      </c>
      <c r="T572" s="46">
        <f>IF(AND(Creditos!$C$15&lt;&gt;"",Creditos!$M$15="OK",27&lt;=Creditos!$H$15),IF(P572&gt;0.005,E572,999999),999999)</f>
        <v>999999</v>
      </c>
    </row>
    <row r="573" ht="25.5" customHeight="1">
      <c r="C573" s="46" t="str">
        <f>IF(AND(Creditos!$C$15&lt;&gt;"",Creditos!$M$15="OK",28&lt;=Creditos!$H$15),Creditos!$C$15,"")</f>
        <v/>
      </c>
      <c r="D573" s="46" t="str">
        <f>IF(AND(Creditos!$C$15&lt;&gt;"",Creditos!$M$15="OK",28&lt;=Creditos!$H$15),28,"")</f>
        <v/>
      </c>
      <c r="E573" s="47" t="str">
        <f>IF(AND(Creditos!$C$15&lt;&gt;"",Creditos!$M$15="OK",28&lt;=Creditos!$H$15),EDATE(Creditos!$I$15,27),"")</f>
        <v/>
      </c>
      <c r="F573" s="48" t="str">
        <f>IF(AND(Creditos!$C$15&lt;&gt;"",Creditos!$M$15="OK",28&lt;=Creditos!$H$15),M572,"")</f>
        <v/>
      </c>
      <c r="G573" s="49" t="str">
        <f>IF(AND(Creditos!$C$15&lt;&gt;"",Creditos!$M$15="OK",28&lt;=Creditos!$H$15),Creditos!$N$15,"")</f>
        <v/>
      </c>
      <c r="H573" s="48" t="str">
        <f>IF(AND(Creditos!$C$15&lt;&gt;"",Creditos!$M$15="OK",28&lt;=Creditos!$H$15),ROUND(F573*G573,2),"")</f>
        <v/>
      </c>
      <c r="I573" s="48" t="str">
        <f>IF(AND(Creditos!$C$15&lt;&gt;"",Creditos!$M$15="OK",28&lt;=Creditos!$H$15),IF(28=Creditos!$H$15,F573+H573,MIN(Creditos!$O$15,F573+H573)),"")</f>
        <v/>
      </c>
      <c r="J573" s="48" t="str">
        <f>IF(AND(Creditos!$C$15&lt;&gt;"",Creditos!$M$15="OK",28&lt;=Creditos!$H$15),MIN(F573,MAX(0,I573-H573)),"")</f>
        <v/>
      </c>
      <c r="K573" s="48" t="str">
        <f>IF(AND(Creditos!$C$15&lt;&gt;"",Creditos!$M$15="OK",28&lt;=Creditos!$H$15),Creditos!$J$15+Creditos!$K$15,"")</f>
        <v/>
      </c>
      <c r="L573" s="48" t="str">
        <f>IF(AND(Creditos!$C$15&lt;&gt;"",Creditos!$M$15="OK",28&lt;=Creditos!$H$15),I573+K573,"")</f>
        <v/>
      </c>
      <c r="M573" s="48" t="str">
        <f>IF(AND(Creditos!$C$15&lt;&gt;"",Creditos!$M$15="OK",28&lt;=Creditos!$H$15),MAX(0,F573-J573),"")</f>
        <v/>
      </c>
      <c r="N573" s="48" t="str">
        <f>IF(AND(Creditos!$C$15&lt;&gt;"",Creditos!$M$15="OK",28&lt;=Creditos!$H$15),SUMIFS(Pagos!$F$6:$F$305,Pagos!$C$6:$C$305,C573,Pagos!$D$6:$D$305,D573,Pagos!$E$6:$E$305,"&lt;="&amp;Supuestos!$D$6,Pagos!$H$6:$H$305,"OK"),"")</f>
        <v/>
      </c>
      <c r="O573" s="48" t="str">
        <f>IF(AND(Creditos!$C$15&lt;&gt;"",Creditos!$M$15="OK",28&lt;=Creditos!$H$15),MIN(J573,MAX(0,N573-K573-H573)),"")</f>
        <v/>
      </c>
      <c r="P573" s="48" t="str">
        <f>IF(AND(Creditos!$C$15&lt;&gt;"",Creditos!$M$15="OK",28&lt;=Creditos!$H$15),MAX(0,L573-N573),"")</f>
        <v/>
      </c>
      <c r="Q573" s="50" t="str">
        <f>IF(AND(Creditos!$C$15&lt;&gt;"",Creditos!$M$15="OK",28&lt;=Creditos!$H$15),IF(AND(E573&lt;Supuestos!$D$6,P573&gt;0.005),Supuestos!$D$6-E573,0),"")</f>
        <v/>
      </c>
      <c r="R573" s="48" t="str">
        <f>IF(AND(Creditos!$C$15&lt;&gt;"",Creditos!$M$15="OK",28&lt;=Creditos!$H$15),MAX(0,N573-L573),"")</f>
        <v/>
      </c>
      <c r="S573" s="46" t="str">
        <f>IF(AND(Creditos!$C$15&lt;&gt;"",Creditos!$M$15="OK",28&lt;=Creditos!$H$15),IF(R573&gt;0.005,"Exceso sin imputar",IF(P573&lt;=0.005,"Pagada",IF(E573&lt;Supuestos!$D$6,"Vencida",IF(E573=Supuestos!$D$6,"Vence hoy","Por vencer")))),"")</f>
        <v/>
      </c>
      <c r="T573" s="46">
        <f>IF(AND(Creditos!$C$15&lt;&gt;"",Creditos!$M$15="OK",28&lt;=Creditos!$H$15),IF(P573&gt;0.005,E573,999999),999999)</f>
        <v>999999</v>
      </c>
    </row>
    <row r="574" ht="25.5" customHeight="1">
      <c r="C574" s="46" t="str">
        <f>IF(AND(Creditos!$C$15&lt;&gt;"",Creditos!$M$15="OK",29&lt;=Creditos!$H$15),Creditos!$C$15,"")</f>
        <v/>
      </c>
      <c r="D574" s="46" t="str">
        <f>IF(AND(Creditos!$C$15&lt;&gt;"",Creditos!$M$15="OK",29&lt;=Creditos!$H$15),29,"")</f>
        <v/>
      </c>
      <c r="E574" s="47" t="str">
        <f>IF(AND(Creditos!$C$15&lt;&gt;"",Creditos!$M$15="OK",29&lt;=Creditos!$H$15),EDATE(Creditos!$I$15,28),"")</f>
        <v/>
      </c>
      <c r="F574" s="48" t="str">
        <f>IF(AND(Creditos!$C$15&lt;&gt;"",Creditos!$M$15="OK",29&lt;=Creditos!$H$15),M573,"")</f>
        <v/>
      </c>
      <c r="G574" s="49" t="str">
        <f>IF(AND(Creditos!$C$15&lt;&gt;"",Creditos!$M$15="OK",29&lt;=Creditos!$H$15),Creditos!$N$15,"")</f>
        <v/>
      </c>
      <c r="H574" s="48" t="str">
        <f>IF(AND(Creditos!$C$15&lt;&gt;"",Creditos!$M$15="OK",29&lt;=Creditos!$H$15),ROUND(F574*G574,2),"")</f>
        <v/>
      </c>
      <c r="I574" s="48" t="str">
        <f>IF(AND(Creditos!$C$15&lt;&gt;"",Creditos!$M$15="OK",29&lt;=Creditos!$H$15),IF(29=Creditos!$H$15,F574+H574,MIN(Creditos!$O$15,F574+H574)),"")</f>
        <v/>
      </c>
      <c r="J574" s="48" t="str">
        <f>IF(AND(Creditos!$C$15&lt;&gt;"",Creditos!$M$15="OK",29&lt;=Creditos!$H$15),MIN(F574,MAX(0,I574-H574)),"")</f>
        <v/>
      </c>
      <c r="K574" s="48" t="str">
        <f>IF(AND(Creditos!$C$15&lt;&gt;"",Creditos!$M$15="OK",29&lt;=Creditos!$H$15),Creditos!$J$15+Creditos!$K$15,"")</f>
        <v/>
      </c>
      <c r="L574" s="48" t="str">
        <f>IF(AND(Creditos!$C$15&lt;&gt;"",Creditos!$M$15="OK",29&lt;=Creditos!$H$15),I574+K574,"")</f>
        <v/>
      </c>
      <c r="M574" s="48" t="str">
        <f>IF(AND(Creditos!$C$15&lt;&gt;"",Creditos!$M$15="OK",29&lt;=Creditos!$H$15),MAX(0,F574-J574),"")</f>
        <v/>
      </c>
      <c r="N574" s="48" t="str">
        <f>IF(AND(Creditos!$C$15&lt;&gt;"",Creditos!$M$15="OK",29&lt;=Creditos!$H$15),SUMIFS(Pagos!$F$6:$F$305,Pagos!$C$6:$C$305,C574,Pagos!$D$6:$D$305,D574,Pagos!$E$6:$E$305,"&lt;="&amp;Supuestos!$D$6,Pagos!$H$6:$H$305,"OK"),"")</f>
        <v/>
      </c>
      <c r="O574" s="48" t="str">
        <f>IF(AND(Creditos!$C$15&lt;&gt;"",Creditos!$M$15="OK",29&lt;=Creditos!$H$15),MIN(J574,MAX(0,N574-K574-H574)),"")</f>
        <v/>
      </c>
      <c r="P574" s="48" t="str">
        <f>IF(AND(Creditos!$C$15&lt;&gt;"",Creditos!$M$15="OK",29&lt;=Creditos!$H$15),MAX(0,L574-N574),"")</f>
        <v/>
      </c>
      <c r="Q574" s="50" t="str">
        <f>IF(AND(Creditos!$C$15&lt;&gt;"",Creditos!$M$15="OK",29&lt;=Creditos!$H$15),IF(AND(E574&lt;Supuestos!$D$6,P574&gt;0.005),Supuestos!$D$6-E574,0),"")</f>
        <v/>
      </c>
      <c r="R574" s="48" t="str">
        <f>IF(AND(Creditos!$C$15&lt;&gt;"",Creditos!$M$15="OK",29&lt;=Creditos!$H$15),MAX(0,N574-L574),"")</f>
        <v/>
      </c>
      <c r="S574" s="46" t="str">
        <f>IF(AND(Creditos!$C$15&lt;&gt;"",Creditos!$M$15="OK",29&lt;=Creditos!$H$15),IF(R574&gt;0.005,"Exceso sin imputar",IF(P574&lt;=0.005,"Pagada",IF(E574&lt;Supuestos!$D$6,"Vencida",IF(E574=Supuestos!$D$6,"Vence hoy","Por vencer")))),"")</f>
        <v/>
      </c>
      <c r="T574" s="46">
        <f>IF(AND(Creditos!$C$15&lt;&gt;"",Creditos!$M$15="OK",29&lt;=Creditos!$H$15),IF(P574&gt;0.005,E574,999999),999999)</f>
        <v>999999</v>
      </c>
    </row>
    <row r="575" ht="25.5" customHeight="1">
      <c r="C575" s="46" t="str">
        <f>IF(AND(Creditos!$C$15&lt;&gt;"",Creditos!$M$15="OK",30&lt;=Creditos!$H$15),Creditos!$C$15,"")</f>
        <v/>
      </c>
      <c r="D575" s="46" t="str">
        <f>IF(AND(Creditos!$C$15&lt;&gt;"",Creditos!$M$15="OK",30&lt;=Creditos!$H$15),30,"")</f>
        <v/>
      </c>
      <c r="E575" s="47" t="str">
        <f>IF(AND(Creditos!$C$15&lt;&gt;"",Creditos!$M$15="OK",30&lt;=Creditos!$H$15),EDATE(Creditos!$I$15,29),"")</f>
        <v/>
      </c>
      <c r="F575" s="48" t="str">
        <f>IF(AND(Creditos!$C$15&lt;&gt;"",Creditos!$M$15="OK",30&lt;=Creditos!$H$15),M574,"")</f>
        <v/>
      </c>
      <c r="G575" s="49" t="str">
        <f>IF(AND(Creditos!$C$15&lt;&gt;"",Creditos!$M$15="OK",30&lt;=Creditos!$H$15),Creditos!$N$15,"")</f>
        <v/>
      </c>
      <c r="H575" s="48" t="str">
        <f>IF(AND(Creditos!$C$15&lt;&gt;"",Creditos!$M$15="OK",30&lt;=Creditos!$H$15),ROUND(F575*G575,2),"")</f>
        <v/>
      </c>
      <c r="I575" s="48" t="str">
        <f>IF(AND(Creditos!$C$15&lt;&gt;"",Creditos!$M$15="OK",30&lt;=Creditos!$H$15),IF(30=Creditos!$H$15,F575+H575,MIN(Creditos!$O$15,F575+H575)),"")</f>
        <v/>
      </c>
      <c r="J575" s="48" t="str">
        <f>IF(AND(Creditos!$C$15&lt;&gt;"",Creditos!$M$15="OK",30&lt;=Creditos!$H$15),MIN(F575,MAX(0,I575-H575)),"")</f>
        <v/>
      </c>
      <c r="K575" s="48" t="str">
        <f>IF(AND(Creditos!$C$15&lt;&gt;"",Creditos!$M$15="OK",30&lt;=Creditos!$H$15),Creditos!$J$15+Creditos!$K$15,"")</f>
        <v/>
      </c>
      <c r="L575" s="48" t="str">
        <f>IF(AND(Creditos!$C$15&lt;&gt;"",Creditos!$M$15="OK",30&lt;=Creditos!$H$15),I575+K575,"")</f>
        <v/>
      </c>
      <c r="M575" s="48" t="str">
        <f>IF(AND(Creditos!$C$15&lt;&gt;"",Creditos!$M$15="OK",30&lt;=Creditos!$H$15),MAX(0,F575-J575),"")</f>
        <v/>
      </c>
      <c r="N575" s="48" t="str">
        <f>IF(AND(Creditos!$C$15&lt;&gt;"",Creditos!$M$15="OK",30&lt;=Creditos!$H$15),SUMIFS(Pagos!$F$6:$F$305,Pagos!$C$6:$C$305,C575,Pagos!$D$6:$D$305,D575,Pagos!$E$6:$E$305,"&lt;="&amp;Supuestos!$D$6,Pagos!$H$6:$H$305,"OK"),"")</f>
        <v/>
      </c>
      <c r="O575" s="48" t="str">
        <f>IF(AND(Creditos!$C$15&lt;&gt;"",Creditos!$M$15="OK",30&lt;=Creditos!$H$15),MIN(J575,MAX(0,N575-K575-H575)),"")</f>
        <v/>
      </c>
      <c r="P575" s="48" t="str">
        <f>IF(AND(Creditos!$C$15&lt;&gt;"",Creditos!$M$15="OK",30&lt;=Creditos!$H$15),MAX(0,L575-N575),"")</f>
        <v/>
      </c>
      <c r="Q575" s="50" t="str">
        <f>IF(AND(Creditos!$C$15&lt;&gt;"",Creditos!$M$15="OK",30&lt;=Creditos!$H$15),IF(AND(E575&lt;Supuestos!$D$6,P575&gt;0.005),Supuestos!$D$6-E575,0),"")</f>
        <v/>
      </c>
      <c r="R575" s="48" t="str">
        <f>IF(AND(Creditos!$C$15&lt;&gt;"",Creditos!$M$15="OK",30&lt;=Creditos!$H$15),MAX(0,N575-L575),"")</f>
        <v/>
      </c>
      <c r="S575" s="46" t="str">
        <f>IF(AND(Creditos!$C$15&lt;&gt;"",Creditos!$M$15="OK",30&lt;=Creditos!$H$15),IF(R575&gt;0.005,"Exceso sin imputar",IF(P575&lt;=0.005,"Pagada",IF(E575&lt;Supuestos!$D$6,"Vencida",IF(E575=Supuestos!$D$6,"Vence hoy","Por vencer")))),"")</f>
        <v/>
      </c>
      <c r="T575" s="46">
        <f>IF(AND(Creditos!$C$15&lt;&gt;"",Creditos!$M$15="OK",30&lt;=Creditos!$H$15),IF(P575&gt;0.005,E575,999999),999999)</f>
        <v>999999</v>
      </c>
    </row>
    <row r="576" ht="25.5" customHeight="1">
      <c r="C576" s="46" t="str">
        <f>IF(AND(Creditos!$C$15&lt;&gt;"",Creditos!$M$15="OK",31&lt;=Creditos!$H$15),Creditos!$C$15,"")</f>
        <v/>
      </c>
      <c r="D576" s="46" t="str">
        <f>IF(AND(Creditos!$C$15&lt;&gt;"",Creditos!$M$15="OK",31&lt;=Creditos!$H$15),31,"")</f>
        <v/>
      </c>
      <c r="E576" s="47" t="str">
        <f>IF(AND(Creditos!$C$15&lt;&gt;"",Creditos!$M$15="OK",31&lt;=Creditos!$H$15),EDATE(Creditos!$I$15,30),"")</f>
        <v/>
      </c>
      <c r="F576" s="48" t="str">
        <f>IF(AND(Creditos!$C$15&lt;&gt;"",Creditos!$M$15="OK",31&lt;=Creditos!$H$15),M575,"")</f>
        <v/>
      </c>
      <c r="G576" s="49" t="str">
        <f>IF(AND(Creditos!$C$15&lt;&gt;"",Creditos!$M$15="OK",31&lt;=Creditos!$H$15),Creditos!$N$15,"")</f>
        <v/>
      </c>
      <c r="H576" s="48" t="str">
        <f>IF(AND(Creditos!$C$15&lt;&gt;"",Creditos!$M$15="OK",31&lt;=Creditos!$H$15),ROUND(F576*G576,2),"")</f>
        <v/>
      </c>
      <c r="I576" s="48" t="str">
        <f>IF(AND(Creditos!$C$15&lt;&gt;"",Creditos!$M$15="OK",31&lt;=Creditos!$H$15),IF(31=Creditos!$H$15,F576+H576,MIN(Creditos!$O$15,F576+H576)),"")</f>
        <v/>
      </c>
      <c r="J576" s="48" t="str">
        <f>IF(AND(Creditos!$C$15&lt;&gt;"",Creditos!$M$15="OK",31&lt;=Creditos!$H$15),MIN(F576,MAX(0,I576-H576)),"")</f>
        <v/>
      </c>
      <c r="K576" s="48" t="str">
        <f>IF(AND(Creditos!$C$15&lt;&gt;"",Creditos!$M$15="OK",31&lt;=Creditos!$H$15),Creditos!$J$15+Creditos!$K$15,"")</f>
        <v/>
      </c>
      <c r="L576" s="48" t="str">
        <f>IF(AND(Creditos!$C$15&lt;&gt;"",Creditos!$M$15="OK",31&lt;=Creditos!$H$15),I576+K576,"")</f>
        <v/>
      </c>
      <c r="M576" s="48" t="str">
        <f>IF(AND(Creditos!$C$15&lt;&gt;"",Creditos!$M$15="OK",31&lt;=Creditos!$H$15),MAX(0,F576-J576),"")</f>
        <v/>
      </c>
      <c r="N576" s="48" t="str">
        <f>IF(AND(Creditos!$C$15&lt;&gt;"",Creditos!$M$15="OK",31&lt;=Creditos!$H$15),SUMIFS(Pagos!$F$6:$F$305,Pagos!$C$6:$C$305,C576,Pagos!$D$6:$D$305,D576,Pagos!$E$6:$E$305,"&lt;="&amp;Supuestos!$D$6,Pagos!$H$6:$H$305,"OK"),"")</f>
        <v/>
      </c>
      <c r="O576" s="48" t="str">
        <f>IF(AND(Creditos!$C$15&lt;&gt;"",Creditos!$M$15="OK",31&lt;=Creditos!$H$15),MIN(J576,MAX(0,N576-K576-H576)),"")</f>
        <v/>
      </c>
      <c r="P576" s="48" t="str">
        <f>IF(AND(Creditos!$C$15&lt;&gt;"",Creditos!$M$15="OK",31&lt;=Creditos!$H$15),MAX(0,L576-N576),"")</f>
        <v/>
      </c>
      <c r="Q576" s="50" t="str">
        <f>IF(AND(Creditos!$C$15&lt;&gt;"",Creditos!$M$15="OK",31&lt;=Creditos!$H$15),IF(AND(E576&lt;Supuestos!$D$6,P576&gt;0.005),Supuestos!$D$6-E576,0),"")</f>
        <v/>
      </c>
      <c r="R576" s="48" t="str">
        <f>IF(AND(Creditos!$C$15&lt;&gt;"",Creditos!$M$15="OK",31&lt;=Creditos!$H$15),MAX(0,N576-L576),"")</f>
        <v/>
      </c>
      <c r="S576" s="46" t="str">
        <f>IF(AND(Creditos!$C$15&lt;&gt;"",Creditos!$M$15="OK",31&lt;=Creditos!$H$15),IF(R576&gt;0.005,"Exceso sin imputar",IF(P576&lt;=0.005,"Pagada",IF(E576&lt;Supuestos!$D$6,"Vencida",IF(E576=Supuestos!$D$6,"Vence hoy","Por vencer")))),"")</f>
        <v/>
      </c>
      <c r="T576" s="46">
        <f>IF(AND(Creditos!$C$15&lt;&gt;"",Creditos!$M$15="OK",31&lt;=Creditos!$H$15),IF(P576&gt;0.005,E576,999999),999999)</f>
        <v>999999</v>
      </c>
    </row>
    <row r="577" ht="25.5" customHeight="1">
      <c r="C577" s="46" t="str">
        <f>IF(AND(Creditos!$C$15&lt;&gt;"",Creditos!$M$15="OK",32&lt;=Creditos!$H$15),Creditos!$C$15,"")</f>
        <v/>
      </c>
      <c r="D577" s="46" t="str">
        <f>IF(AND(Creditos!$C$15&lt;&gt;"",Creditos!$M$15="OK",32&lt;=Creditos!$H$15),32,"")</f>
        <v/>
      </c>
      <c r="E577" s="47" t="str">
        <f>IF(AND(Creditos!$C$15&lt;&gt;"",Creditos!$M$15="OK",32&lt;=Creditos!$H$15),EDATE(Creditos!$I$15,31),"")</f>
        <v/>
      </c>
      <c r="F577" s="48" t="str">
        <f>IF(AND(Creditos!$C$15&lt;&gt;"",Creditos!$M$15="OK",32&lt;=Creditos!$H$15),M576,"")</f>
        <v/>
      </c>
      <c r="G577" s="49" t="str">
        <f>IF(AND(Creditos!$C$15&lt;&gt;"",Creditos!$M$15="OK",32&lt;=Creditos!$H$15),Creditos!$N$15,"")</f>
        <v/>
      </c>
      <c r="H577" s="48" t="str">
        <f>IF(AND(Creditos!$C$15&lt;&gt;"",Creditos!$M$15="OK",32&lt;=Creditos!$H$15),ROUND(F577*G577,2),"")</f>
        <v/>
      </c>
      <c r="I577" s="48" t="str">
        <f>IF(AND(Creditos!$C$15&lt;&gt;"",Creditos!$M$15="OK",32&lt;=Creditos!$H$15),IF(32=Creditos!$H$15,F577+H577,MIN(Creditos!$O$15,F577+H577)),"")</f>
        <v/>
      </c>
      <c r="J577" s="48" t="str">
        <f>IF(AND(Creditos!$C$15&lt;&gt;"",Creditos!$M$15="OK",32&lt;=Creditos!$H$15),MIN(F577,MAX(0,I577-H577)),"")</f>
        <v/>
      </c>
      <c r="K577" s="48" t="str">
        <f>IF(AND(Creditos!$C$15&lt;&gt;"",Creditos!$M$15="OK",32&lt;=Creditos!$H$15),Creditos!$J$15+Creditos!$K$15,"")</f>
        <v/>
      </c>
      <c r="L577" s="48" t="str">
        <f>IF(AND(Creditos!$C$15&lt;&gt;"",Creditos!$M$15="OK",32&lt;=Creditos!$H$15),I577+K577,"")</f>
        <v/>
      </c>
      <c r="M577" s="48" t="str">
        <f>IF(AND(Creditos!$C$15&lt;&gt;"",Creditos!$M$15="OK",32&lt;=Creditos!$H$15),MAX(0,F577-J577),"")</f>
        <v/>
      </c>
      <c r="N577" s="48" t="str">
        <f>IF(AND(Creditos!$C$15&lt;&gt;"",Creditos!$M$15="OK",32&lt;=Creditos!$H$15),SUMIFS(Pagos!$F$6:$F$305,Pagos!$C$6:$C$305,C577,Pagos!$D$6:$D$305,D577,Pagos!$E$6:$E$305,"&lt;="&amp;Supuestos!$D$6,Pagos!$H$6:$H$305,"OK"),"")</f>
        <v/>
      </c>
      <c r="O577" s="48" t="str">
        <f>IF(AND(Creditos!$C$15&lt;&gt;"",Creditos!$M$15="OK",32&lt;=Creditos!$H$15),MIN(J577,MAX(0,N577-K577-H577)),"")</f>
        <v/>
      </c>
      <c r="P577" s="48" t="str">
        <f>IF(AND(Creditos!$C$15&lt;&gt;"",Creditos!$M$15="OK",32&lt;=Creditos!$H$15),MAX(0,L577-N577),"")</f>
        <v/>
      </c>
      <c r="Q577" s="50" t="str">
        <f>IF(AND(Creditos!$C$15&lt;&gt;"",Creditos!$M$15="OK",32&lt;=Creditos!$H$15),IF(AND(E577&lt;Supuestos!$D$6,P577&gt;0.005),Supuestos!$D$6-E577,0),"")</f>
        <v/>
      </c>
      <c r="R577" s="48" t="str">
        <f>IF(AND(Creditos!$C$15&lt;&gt;"",Creditos!$M$15="OK",32&lt;=Creditos!$H$15),MAX(0,N577-L577),"")</f>
        <v/>
      </c>
      <c r="S577" s="46" t="str">
        <f>IF(AND(Creditos!$C$15&lt;&gt;"",Creditos!$M$15="OK",32&lt;=Creditos!$H$15),IF(R577&gt;0.005,"Exceso sin imputar",IF(P577&lt;=0.005,"Pagada",IF(E577&lt;Supuestos!$D$6,"Vencida",IF(E577=Supuestos!$D$6,"Vence hoy","Por vencer")))),"")</f>
        <v/>
      </c>
      <c r="T577" s="46">
        <f>IF(AND(Creditos!$C$15&lt;&gt;"",Creditos!$M$15="OK",32&lt;=Creditos!$H$15),IF(P577&gt;0.005,E577,999999),999999)</f>
        <v>999999</v>
      </c>
    </row>
    <row r="578" ht="25.5" customHeight="1">
      <c r="C578" s="46" t="str">
        <f>IF(AND(Creditos!$C$15&lt;&gt;"",Creditos!$M$15="OK",33&lt;=Creditos!$H$15),Creditos!$C$15,"")</f>
        <v/>
      </c>
      <c r="D578" s="46" t="str">
        <f>IF(AND(Creditos!$C$15&lt;&gt;"",Creditos!$M$15="OK",33&lt;=Creditos!$H$15),33,"")</f>
        <v/>
      </c>
      <c r="E578" s="47" t="str">
        <f>IF(AND(Creditos!$C$15&lt;&gt;"",Creditos!$M$15="OK",33&lt;=Creditos!$H$15),EDATE(Creditos!$I$15,32),"")</f>
        <v/>
      </c>
      <c r="F578" s="48" t="str">
        <f>IF(AND(Creditos!$C$15&lt;&gt;"",Creditos!$M$15="OK",33&lt;=Creditos!$H$15),M577,"")</f>
        <v/>
      </c>
      <c r="G578" s="49" t="str">
        <f>IF(AND(Creditos!$C$15&lt;&gt;"",Creditos!$M$15="OK",33&lt;=Creditos!$H$15),Creditos!$N$15,"")</f>
        <v/>
      </c>
      <c r="H578" s="48" t="str">
        <f>IF(AND(Creditos!$C$15&lt;&gt;"",Creditos!$M$15="OK",33&lt;=Creditos!$H$15),ROUND(F578*G578,2),"")</f>
        <v/>
      </c>
      <c r="I578" s="48" t="str">
        <f>IF(AND(Creditos!$C$15&lt;&gt;"",Creditos!$M$15="OK",33&lt;=Creditos!$H$15),IF(33=Creditos!$H$15,F578+H578,MIN(Creditos!$O$15,F578+H578)),"")</f>
        <v/>
      </c>
      <c r="J578" s="48" t="str">
        <f>IF(AND(Creditos!$C$15&lt;&gt;"",Creditos!$M$15="OK",33&lt;=Creditos!$H$15),MIN(F578,MAX(0,I578-H578)),"")</f>
        <v/>
      </c>
      <c r="K578" s="48" t="str">
        <f>IF(AND(Creditos!$C$15&lt;&gt;"",Creditos!$M$15="OK",33&lt;=Creditos!$H$15),Creditos!$J$15+Creditos!$K$15,"")</f>
        <v/>
      </c>
      <c r="L578" s="48" t="str">
        <f>IF(AND(Creditos!$C$15&lt;&gt;"",Creditos!$M$15="OK",33&lt;=Creditos!$H$15),I578+K578,"")</f>
        <v/>
      </c>
      <c r="M578" s="48" t="str">
        <f>IF(AND(Creditos!$C$15&lt;&gt;"",Creditos!$M$15="OK",33&lt;=Creditos!$H$15),MAX(0,F578-J578),"")</f>
        <v/>
      </c>
      <c r="N578" s="48" t="str">
        <f>IF(AND(Creditos!$C$15&lt;&gt;"",Creditos!$M$15="OK",33&lt;=Creditos!$H$15),SUMIFS(Pagos!$F$6:$F$305,Pagos!$C$6:$C$305,C578,Pagos!$D$6:$D$305,D578,Pagos!$E$6:$E$305,"&lt;="&amp;Supuestos!$D$6,Pagos!$H$6:$H$305,"OK"),"")</f>
        <v/>
      </c>
      <c r="O578" s="48" t="str">
        <f>IF(AND(Creditos!$C$15&lt;&gt;"",Creditos!$M$15="OK",33&lt;=Creditos!$H$15),MIN(J578,MAX(0,N578-K578-H578)),"")</f>
        <v/>
      </c>
      <c r="P578" s="48" t="str">
        <f>IF(AND(Creditos!$C$15&lt;&gt;"",Creditos!$M$15="OK",33&lt;=Creditos!$H$15),MAX(0,L578-N578),"")</f>
        <v/>
      </c>
      <c r="Q578" s="50" t="str">
        <f>IF(AND(Creditos!$C$15&lt;&gt;"",Creditos!$M$15="OK",33&lt;=Creditos!$H$15),IF(AND(E578&lt;Supuestos!$D$6,P578&gt;0.005),Supuestos!$D$6-E578,0),"")</f>
        <v/>
      </c>
      <c r="R578" s="48" t="str">
        <f>IF(AND(Creditos!$C$15&lt;&gt;"",Creditos!$M$15="OK",33&lt;=Creditos!$H$15),MAX(0,N578-L578),"")</f>
        <v/>
      </c>
      <c r="S578" s="46" t="str">
        <f>IF(AND(Creditos!$C$15&lt;&gt;"",Creditos!$M$15="OK",33&lt;=Creditos!$H$15),IF(R578&gt;0.005,"Exceso sin imputar",IF(P578&lt;=0.005,"Pagada",IF(E578&lt;Supuestos!$D$6,"Vencida",IF(E578=Supuestos!$D$6,"Vence hoy","Por vencer")))),"")</f>
        <v/>
      </c>
      <c r="T578" s="46">
        <f>IF(AND(Creditos!$C$15&lt;&gt;"",Creditos!$M$15="OK",33&lt;=Creditos!$H$15),IF(P578&gt;0.005,E578,999999),999999)</f>
        <v>999999</v>
      </c>
    </row>
    <row r="579" ht="25.5" customHeight="1">
      <c r="C579" s="46" t="str">
        <f>IF(AND(Creditos!$C$15&lt;&gt;"",Creditos!$M$15="OK",34&lt;=Creditos!$H$15),Creditos!$C$15,"")</f>
        <v/>
      </c>
      <c r="D579" s="46" t="str">
        <f>IF(AND(Creditos!$C$15&lt;&gt;"",Creditos!$M$15="OK",34&lt;=Creditos!$H$15),34,"")</f>
        <v/>
      </c>
      <c r="E579" s="47" t="str">
        <f>IF(AND(Creditos!$C$15&lt;&gt;"",Creditos!$M$15="OK",34&lt;=Creditos!$H$15),EDATE(Creditos!$I$15,33),"")</f>
        <v/>
      </c>
      <c r="F579" s="48" t="str">
        <f>IF(AND(Creditos!$C$15&lt;&gt;"",Creditos!$M$15="OK",34&lt;=Creditos!$H$15),M578,"")</f>
        <v/>
      </c>
      <c r="G579" s="49" t="str">
        <f>IF(AND(Creditos!$C$15&lt;&gt;"",Creditos!$M$15="OK",34&lt;=Creditos!$H$15),Creditos!$N$15,"")</f>
        <v/>
      </c>
      <c r="H579" s="48" t="str">
        <f>IF(AND(Creditos!$C$15&lt;&gt;"",Creditos!$M$15="OK",34&lt;=Creditos!$H$15),ROUND(F579*G579,2),"")</f>
        <v/>
      </c>
      <c r="I579" s="48" t="str">
        <f>IF(AND(Creditos!$C$15&lt;&gt;"",Creditos!$M$15="OK",34&lt;=Creditos!$H$15),IF(34=Creditos!$H$15,F579+H579,MIN(Creditos!$O$15,F579+H579)),"")</f>
        <v/>
      </c>
      <c r="J579" s="48" t="str">
        <f>IF(AND(Creditos!$C$15&lt;&gt;"",Creditos!$M$15="OK",34&lt;=Creditos!$H$15),MIN(F579,MAX(0,I579-H579)),"")</f>
        <v/>
      </c>
      <c r="K579" s="48" t="str">
        <f>IF(AND(Creditos!$C$15&lt;&gt;"",Creditos!$M$15="OK",34&lt;=Creditos!$H$15),Creditos!$J$15+Creditos!$K$15,"")</f>
        <v/>
      </c>
      <c r="L579" s="48" t="str">
        <f>IF(AND(Creditos!$C$15&lt;&gt;"",Creditos!$M$15="OK",34&lt;=Creditos!$H$15),I579+K579,"")</f>
        <v/>
      </c>
      <c r="M579" s="48" t="str">
        <f>IF(AND(Creditos!$C$15&lt;&gt;"",Creditos!$M$15="OK",34&lt;=Creditos!$H$15),MAX(0,F579-J579),"")</f>
        <v/>
      </c>
      <c r="N579" s="48" t="str">
        <f>IF(AND(Creditos!$C$15&lt;&gt;"",Creditos!$M$15="OK",34&lt;=Creditos!$H$15),SUMIFS(Pagos!$F$6:$F$305,Pagos!$C$6:$C$305,C579,Pagos!$D$6:$D$305,D579,Pagos!$E$6:$E$305,"&lt;="&amp;Supuestos!$D$6,Pagos!$H$6:$H$305,"OK"),"")</f>
        <v/>
      </c>
      <c r="O579" s="48" t="str">
        <f>IF(AND(Creditos!$C$15&lt;&gt;"",Creditos!$M$15="OK",34&lt;=Creditos!$H$15),MIN(J579,MAX(0,N579-K579-H579)),"")</f>
        <v/>
      </c>
      <c r="P579" s="48" t="str">
        <f>IF(AND(Creditos!$C$15&lt;&gt;"",Creditos!$M$15="OK",34&lt;=Creditos!$H$15),MAX(0,L579-N579),"")</f>
        <v/>
      </c>
      <c r="Q579" s="50" t="str">
        <f>IF(AND(Creditos!$C$15&lt;&gt;"",Creditos!$M$15="OK",34&lt;=Creditos!$H$15),IF(AND(E579&lt;Supuestos!$D$6,P579&gt;0.005),Supuestos!$D$6-E579,0),"")</f>
        <v/>
      </c>
      <c r="R579" s="48" t="str">
        <f>IF(AND(Creditos!$C$15&lt;&gt;"",Creditos!$M$15="OK",34&lt;=Creditos!$H$15),MAX(0,N579-L579),"")</f>
        <v/>
      </c>
      <c r="S579" s="46" t="str">
        <f>IF(AND(Creditos!$C$15&lt;&gt;"",Creditos!$M$15="OK",34&lt;=Creditos!$H$15),IF(R579&gt;0.005,"Exceso sin imputar",IF(P579&lt;=0.005,"Pagada",IF(E579&lt;Supuestos!$D$6,"Vencida",IF(E579=Supuestos!$D$6,"Vence hoy","Por vencer")))),"")</f>
        <v/>
      </c>
      <c r="T579" s="46">
        <f>IF(AND(Creditos!$C$15&lt;&gt;"",Creditos!$M$15="OK",34&lt;=Creditos!$H$15),IF(P579&gt;0.005,E579,999999),999999)</f>
        <v>999999</v>
      </c>
    </row>
    <row r="580" ht="25.5" customHeight="1">
      <c r="C580" s="46" t="str">
        <f>IF(AND(Creditos!$C$15&lt;&gt;"",Creditos!$M$15="OK",35&lt;=Creditos!$H$15),Creditos!$C$15,"")</f>
        <v/>
      </c>
      <c r="D580" s="46" t="str">
        <f>IF(AND(Creditos!$C$15&lt;&gt;"",Creditos!$M$15="OK",35&lt;=Creditos!$H$15),35,"")</f>
        <v/>
      </c>
      <c r="E580" s="47" t="str">
        <f>IF(AND(Creditos!$C$15&lt;&gt;"",Creditos!$M$15="OK",35&lt;=Creditos!$H$15),EDATE(Creditos!$I$15,34),"")</f>
        <v/>
      </c>
      <c r="F580" s="48" t="str">
        <f>IF(AND(Creditos!$C$15&lt;&gt;"",Creditos!$M$15="OK",35&lt;=Creditos!$H$15),M579,"")</f>
        <v/>
      </c>
      <c r="G580" s="49" t="str">
        <f>IF(AND(Creditos!$C$15&lt;&gt;"",Creditos!$M$15="OK",35&lt;=Creditos!$H$15),Creditos!$N$15,"")</f>
        <v/>
      </c>
      <c r="H580" s="48" t="str">
        <f>IF(AND(Creditos!$C$15&lt;&gt;"",Creditos!$M$15="OK",35&lt;=Creditos!$H$15),ROUND(F580*G580,2),"")</f>
        <v/>
      </c>
      <c r="I580" s="48" t="str">
        <f>IF(AND(Creditos!$C$15&lt;&gt;"",Creditos!$M$15="OK",35&lt;=Creditos!$H$15),IF(35=Creditos!$H$15,F580+H580,MIN(Creditos!$O$15,F580+H580)),"")</f>
        <v/>
      </c>
      <c r="J580" s="48" t="str">
        <f>IF(AND(Creditos!$C$15&lt;&gt;"",Creditos!$M$15="OK",35&lt;=Creditos!$H$15),MIN(F580,MAX(0,I580-H580)),"")</f>
        <v/>
      </c>
      <c r="K580" s="48" t="str">
        <f>IF(AND(Creditos!$C$15&lt;&gt;"",Creditos!$M$15="OK",35&lt;=Creditos!$H$15),Creditos!$J$15+Creditos!$K$15,"")</f>
        <v/>
      </c>
      <c r="L580" s="48" t="str">
        <f>IF(AND(Creditos!$C$15&lt;&gt;"",Creditos!$M$15="OK",35&lt;=Creditos!$H$15),I580+K580,"")</f>
        <v/>
      </c>
      <c r="M580" s="48" t="str">
        <f>IF(AND(Creditos!$C$15&lt;&gt;"",Creditos!$M$15="OK",35&lt;=Creditos!$H$15),MAX(0,F580-J580),"")</f>
        <v/>
      </c>
      <c r="N580" s="48" t="str">
        <f>IF(AND(Creditos!$C$15&lt;&gt;"",Creditos!$M$15="OK",35&lt;=Creditos!$H$15),SUMIFS(Pagos!$F$6:$F$305,Pagos!$C$6:$C$305,C580,Pagos!$D$6:$D$305,D580,Pagos!$E$6:$E$305,"&lt;="&amp;Supuestos!$D$6,Pagos!$H$6:$H$305,"OK"),"")</f>
        <v/>
      </c>
      <c r="O580" s="48" t="str">
        <f>IF(AND(Creditos!$C$15&lt;&gt;"",Creditos!$M$15="OK",35&lt;=Creditos!$H$15),MIN(J580,MAX(0,N580-K580-H580)),"")</f>
        <v/>
      </c>
      <c r="P580" s="48" t="str">
        <f>IF(AND(Creditos!$C$15&lt;&gt;"",Creditos!$M$15="OK",35&lt;=Creditos!$H$15),MAX(0,L580-N580),"")</f>
        <v/>
      </c>
      <c r="Q580" s="50" t="str">
        <f>IF(AND(Creditos!$C$15&lt;&gt;"",Creditos!$M$15="OK",35&lt;=Creditos!$H$15),IF(AND(E580&lt;Supuestos!$D$6,P580&gt;0.005),Supuestos!$D$6-E580,0),"")</f>
        <v/>
      </c>
      <c r="R580" s="48" t="str">
        <f>IF(AND(Creditos!$C$15&lt;&gt;"",Creditos!$M$15="OK",35&lt;=Creditos!$H$15),MAX(0,N580-L580),"")</f>
        <v/>
      </c>
      <c r="S580" s="46" t="str">
        <f>IF(AND(Creditos!$C$15&lt;&gt;"",Creditos!$M$15="OK",35&lt;=Creditos!$H$15),IF(R580&gt;0.005,"Exceso sin imputar",IF(P580&lt;=0.005,"Pagada",IF(E580&lt;Supuestos!$D$6,"Vencida",IF(E580=Supuestos!$D$6,"Vence hoy","Por vencer")))),"")</f>
        <v/>
      </c>
      <c r="T580" s="46">
        <f>IF(AND(Creditos!$C$15&lt;&gt;"",Creditos!$M$15="OK",35&lt;=Creditos!$H$15),IF(P580&gt;0.005,E580,999999),999999)</f>
        <v>999999</v>
      </c>
    </row>
    <row r="581" ht="25.5" customHeight="1">
      <c r="C581" s="46" t="str">
        <f>IF(AND(Creditos!$C$15&lt;&gt;"",Creditos!$M$15="OK",36&lt;=Creditos!$H$15),Creditos!$C$15,"")</f>
        <v/>
      </c>
      <c r="D581" s="46" t="str">
        <f>IF(AND(Creditos!$C$15&lt;&gt;"",Creditos!$M$15="OK",36&lt;=Creditos!$H$15),36,"")</f>
        <v/>
      </c>
      <c r="E581" s="47" t="str">
        <f>IF(AND(Creditos!$C$15&lt;&gt;"",Creditos!$M$15="OK",36&lt;=Creditos!$H$15),EDATE(Creditos!$I$15,35),"")</f>
        <v/>
      </c>
      <c r="F581" s="48" t="str">
        <f>IF(AND(Creditos!$C$15&lt;&gt;"",Creditos!$M$15="OK",36&lt;=Creditos!$H$15),M580,"")</f>
        <v/>
      </c>
      <c r="G581" s="49" t="str">
        <f>IF(AND(Creditos!$C$15&lt;&gt;"",Creditos!$M$15="OK",36&lt;=Creditos!$H$15),Creditos!$N$15,"")</f>
        <v/>
      </c>
      <c r="H581" s="48" t="str">
        <f>IF(AND(Creditos!$C$15&lt;&gt;"",Creditos!$M$15="OK",36&lt;=Creditos!$H$15),ROUND(F581*G581,2),"")</f>
        <v/>
      </c>
      <c r="I581" s="48" t="str">
        <f>IF(AND(Creditos!$C$15&lt;&gt;"",Creditos!$M$15="OK",36&lt;=Creditos!$H$15),IF(36=Creditos!$H$15,F581+H581,MIN(Creditos!$O$15,F581+H581)),"")</f>
        <v/>
      </c>
      <c r="J581" s="48" t="str">
        <f>IF(AND(Creditos!$C$15&lt;&gt;"",Creditos!$M$15="OK",36&lt;=Creditos!$H$15),MIN(F581,MAX(0,I581-H581)),"")</f>
        <v/>
      </c>
      <c r="K581" s="48" t="str">
        <f>IF(AND(Creditos!$C$15&lt;&gt;"",Creditos!$M$15="OK",36&lt;=Creditos!$H$15),Creditos!$J$15+Creditos!$K$15,"")</f>
        <v/>
      </c>
      <c r="L581" s="48" t="str">
        <f>IF(AND(Creditos!$C$15&lt;&gt;"",Creditos!$M$15="OK",36&lt;=Creditos!$H$15),I581+K581,"")</f>
        <v/>
      </c>
      <c r="M581" s="48" t="str">
        <f>IF(AND(Creditos!$C$15&lt;&gt;"",Creditos!$M$15="OK",36&lt;=Creditos!$H$15),MAX(0,F581-J581),"")</f>
        <v/>
      </c>
      <c r="N581" s="48" t="str">
        <f>IF(AND(Creditos!$C$15&lt;&gt;"",Creditos!$M$15="OK",36&lt;=Creditos!$H$15),SUMIFS(Pagos!$F$6:$F$305,Pagos!$C$6:$C$305,C581,Pagos!$D$6:$D$305,D581,Pagos!$E$6:$E$305,"&lt;="&amp;Supuestos!$D$6,Pagos!$H$6:$H$305,"OK"),"")</f>
        <v/>
      </c>
      <c r="O581" s="48" t="str">
        <f>IF(AND(Creditos!$C$15&lt;&gt;"",Creditos!$M$15="OK",36&lt;=Creditos!$H$15),MIN(J581,MAX(0,N581-K581-H581)),"")</f>
        <v/>
      </c>
      <c r="P581" s="48" t="str">
        <f>IF(AND(Creditos!$C$15&lt;&gt;"",Creditos!$M$15="OK",36&lt;=Creditos!$H$15),MAX(0,L581-N581),"")</f>
        <v/>
      </c>
      <c r="Q581" s="50" t="str">
        <f>IF(AND(Creditos!$C$15&lt;&gt;"",Creditos!$M$15="OK",36&lt;=Creditos!$H$15),IF(AND(E581&lt;Supuestos!$D$6,P581&gt;0.005),Supuestos!$D$6-E581,0),"")</f>
        <v/>
      </c>
      <c r="R581" s="48" t="str">
        <f>IF(AND(Creditos!$C$15&lt;&gt;"",Creditos!$M$15="OK",36&lt;=Creditos!$H$15),MAX(0,N581-L581),"")</f>
        <v/>
      </c>
      <c r="S581" s="46" t="str">
        <f>IF(AND(Creditos!$C$15&lt;&gt;"",Creditos!$M$15="OK",36&lt;=Creditos!$H$15),IF(R581&gt;0.005,"Exceso sin imputar",IF(P581&lt;=0.005,"Pagada",IF(E581&lt;Supuestos!$D$6,"Vencida",IF(E581=Supuestos!$D$6,"Vence hoy","Por vencer")))),"")</f>
        <v/>
      </c>
      <c r="T581" s="46">
        <f>IF(AND(Creditos!$C$15&lt;&gt;"",Creditos!$M$15="OK",36&lt;=Creditos!$H$15),IF(P581&gt;0.005,E581,999999),999999)</f>
        <v>999999</v>
      </c>
    </row>
    <row r="582" ht="25.5" customHeight="1">
      <c r="C582" s="46" t="str">
        <f>IF(AND(Creditos!$C$15&lt;&gt;"",Creditos!$M$15="OK",37&lt;=Creditos!$H$15),Creditos!$C$15,"")</f>
        <v/>
      </c>
      <c r="D582" s="46" t="str">
        <f>IF(AND(Creditos!$C$15&lt;&gt;"",Creditos!$M$15="OK",37&lt;=Creditos!$H$15),37,"")</f>
        <v/>
      </c>
      <c r="E582" s="47" t="str">
        <f>IF(AND(Creditos!$C$15&lt;&gt;"",Creditos!$M$15="OK",37&lt;=Creditos!$H$15),EDATE(Creditos!$I$15,36),"")</f>
        <v/>
      </c>
      <c r="F582" s="48" t="str">
        <f>IF(AND(Creditos!$C$15&lt;&gt;"",Creditos!$M$15="OK",37&lt;=Creditos!$H$15),M581,"")</f>
        <v/>
      </c>
      <c r="G582" s="49" t="str">
        <f>IF(AND(Creditos!$C$15&lt;&gt;"",Creditos!$M$15="OK",37&lt;=Creditos!$H$15),Creditos!$N$15,"")</f>
        <v/>
      </c>
      <c r="H582" s="48" t="str">
        <f>IF(AND(Creditos!$C$15&lt;&gt;"",Creditos!$M$15="OK",37&lt;=Creditos!$H$15),ROUND(F582*G582,2),"")</f>
        <v/>
      </c>
      <c r="I582" s="48" t="str">
        <f>IF(AND(Creditos!$C$15&lt;&gt;"",Creditos!$M$15="OK",37&lt;=Creditos!$H$15),IF(37=Creditos!$H$15,F582+H582,MIN(Creditos!$O$15,F582+H582)),"")</f>
        <v/>
      </c>
      <c r="J582" s="48" t="str">
        <f>IF(AND(Creditos!$C$15&lt;&gt;"",Creditos!$M$15="OK",37&lt;=Creditos!$H$15),MIN(F582,MAX(0,I582-H582)),"")</f>
        <v/>
      </c>
      <c r="K582" s="48" t="str">
        <f>IF(AND(Creditos!$C$15&lt;&gt;"",Creditos!$M$15="OK",37&lt;=Creditos!$H$15),Creditos!$J$15+Creditos!$K$15,"")</f>
        <v/>
      </c>
      <c r="L582" s="48" t="str">
        <f>IF(AND(Creditos!$C$15&lt;&gt;"",Creditos!$M$15="OK",37&lt;=Creditos!$H$15),I582+K582,"")</f>
        <v/>
      </c>
      <c r="M582" s="48" t="str">
        <f>IF(AND(Creditos!$C$15&lt;&gt;"",Creditos!$M$15="OK",37&lt;=Creditos!$H$15),MAX(0,F582-J582),"")</f>
        <v/>
      </c>
      <c r="N582" s="48" t="str">
        <f>IF(AND(Creditos!$C$15&lt;&gt;"",Creditos!$M$15="OK",37&lt;=Creditos!$H$15),SUMIFS(Pagos!$F$6:$F$305,Pagos!$C$6:$C$305,C582,Pagos!$D$6:$D$305,D582,Pagos!$E$6:$E$305,"&lt;="&amp;Supuestos!$D$6,Pagos!$H$6:$H$305,"OK"),"")</f>
        <v/>
      </c>
      <c r="O582" s="48" t="str">
        <f>IF(AND(Creditos!$C$15&lt;&gt;"",Creditos!$M$15="OK",37&lt;=Creditos!$H$15),MIN(J582,MAX(0,N582-K582-H582)),"")</f>
        <v/>
      </c>
      <c r="P582" s="48" t="str">
        <f>IF(AND(Creditos!$C$15&lt;&gt;"",Creditos!$M$15="OK",37&lt;=Creditos!$H$15),MAX(0,L582-N582),"")</f>
        <v/>
      </c>
      <c r="Q582" s="50" t="str">
        <f>IF(AND(Creditos!$C$15&lt;&gt;"",Creditos!$M$15="OK",37&lt;=Creditos!$H$15),IF(AND(E582&lt;Supuestos!$D$6,P582&gt;0.005),Supuestos!$D$6-E582,0),"")</f>
        <v/>
      </c>
      <c r="R582" s="48" t="str">
        <f>IF(AND(Creditos!$C$15&lt;&gt;"",Creditos!$M$15="OK",37&lt;=Creditos!$H$15),MAX(0,N582-L582),"")</f>
        <v/>
      </c>
      <c r="S582" s="46" t="str">
        <f>IF(AND(Creditos!$C$15&lt;&gt;"",Creditos!$M$15="OK",37&lt;=Creditos!$H$15),IF(R582&gt;0.005,"Exceso sin imputar",IF(P582&lt;=0.005,"Pagada",IF(E582&lt;Supuestos!$D$6,"Vencida",IF(E582=Supuestos!$D$6,"Vence hoy","Por vencer")))),"")</f>
        <v/>
      </c>
      <c r="T582" s="46">
        <f>IF(AND(Creditos!$C$15&lt;&gt;"",Creditos!$M$15="OK",37&lt;=Creditos!$H$15),IF(P582&gt;0.005,E582,999999),999999)</f>
        <v>999999</v>
      </c>
    </row>
    <row r="583" ht="25.5" customHeight="1">
      <c r="C583" s="46" t="str">
        <f>IF(AND(Creditos!$C$15&lt;&gt;"",Creditos!$M$15="OK",38&lt;=Creditos!$H$15),Creditos!$C$15,"")</f>
        <v/>
      </c>
      <c r="D583" s="46" t="str">
        <f>IF(AND(Creditos!$C$15&lt;&gt;"",Creditos!$M$15="OK",38&lt;=Creditos!$H$15),38,"")</f>
        <v/>
      </c>
      <c r="E583" s="47" t="str">
        <f>IF(AND(Creditos!$C$15&lt;&gt;"",Creditos!$M$15="OK",38&lt;=Creditos!$H$15),EDATE(Creditos!$I$15,37),"")</f>
        <v/>
      </c>
      <c r="F583" s="48" t="str">
        <f>IF(AND(Creditos!$C$15&lt;&gt;"",Creditos!$M$15="OK",38&lt;=Creditos!$H$15),M582,"")</f>
        <v/>
      </c>
      <c r="G583" s="49" t="str">
        <f>IF(AND(Creditos!$C$15&lt;&gt;"",Creditos!$M$15="OK",38&lt;=Creditos!$H$15),Creditos!$N$15,"")</f>
        <v/>
      </c>
      <c r="H583" s="48" t="str">
        <f>IF(AND(Creditos!$C$15&lt;&gt;"",Creditos!$M$15="OK",38&lt;=Creditos!$H$15),ROUND(F583*G583,2),"")</f>
        <v/>
      </c>
      <c r="I583" s="48" t="str">
        <f>IF(AND(Creditos!$C$15&lt;&gt;"",Creditos!$M$15="OK",38&lt;=Creditos!$H$15),IF(38=Creditos!$H$15,F583+H583,MIN(Creditos!$O$15,F583+H583)),"")</f>
        <v/>
      </c>
      <c r="J583" s="48" t="str">
        <f>IF(AND(Creditos!$C$15&lt;&gt;"",Creditos!$M$15="OK",38&lt;=Creditos!$H$15),MIN(F583,MAX(0,I583-H583)),"")</f>
        <v/>
      </c>
      <c r="K583" s="48" t="str">
        <f>IF(AND(Creditos!$C$15&lt;&gt;"",Creditos!$M$15="OK",38&lt;=Creditos!$H$15),Creditos!$J$15+Creditos!$K$15,"")</f>
        <v/>
      </c>
      <c r="L583" s="48" t="str">
        <f>IF(AND(Creditos!$C$15&lt;&gt;"",Creditos!$M$15="OK",38&lt;=Creditos!$H$15),I583+K583,"")</f>
        <v/>
      </c>
      <c r="M583" s="48" t="str">
        <f>IF(AND(Creditos!$C$15&lt;&gt;"",Creditos!$M$15="OK",38&lt;=Creditos!$H$15),MAX(0,F583-J583),"")</f>
        <v/>
      </c>
      <c r="N583" s="48" t="str">
        <f>IF(AND(Creditos!$C$15&lt;&gt;"",Creditos!$M$15="OK",38&lt;=Creditos!$H$15),SUMIFS(Pagos!$F$6:$F$305,Pagos!$C$6:$C$305,C583,Pagos!$D$6:$D$305,D583,Pagos!$E$6:$E$305,"&lt;="&amp;Supuestos!$D$6,Pagos!$H$6:$H$305,"OK"),"")</f>
        <v/>
      </c>
      <c r="O583" s="48" t="str">
        <f>IF(AND(Creditos!$C$15&lt;&gt;"",Creditos!$M$15="OK",38&lt;=Creditos!$H$15),MIN(J583,MAX(0,N583-K583-H583)),"")</f>
        <v/>
      </c>
      <c r="P583" s="48" t="str">
        <f>IF(AND(Creditos!$C$15&lt;&gt;"",Creditos!$M$15="OK",38&lt;=Creditos!$H$15),MAX(0,L583-N583),"")</f>
        <v/>
      </c>
      <c r="Q583" s="50" t="str">
        <f>IF(AND(Creditos!$C$15&lt;&gt;"",Creditos!$M$15="OK",38&lt;=Creditos!$H$15),IF(AND(E583&lt;Supuestos!$D$6,P583&gt;0.005),Supuestos!$D$6-E583,0),"")</f>
        <v/>
      </c>
      <c r="R583" s="48" t="str">
        <f>IF(AND(Creditos!$C$15&lt;&gt;"",Creditos!$M$15="OK",38&lt;=Creditos!$H$15),MAX(0,N583-L583),"")</f>
        <v/>
      </c>
      <c r="S583" s="46" t="str">
        <f>IF(AND(Creditos!$C$15&lt;&gt;"",Creditos!$M$15="OK",38&lt;=Creditos!$H$15),IF(R583&gt;0.005,"Exceso sin imputar",IF(P583&lt;=0.005,"Pagada",IF(E583&lt;Supuestos!$D$6,"Vencida",IF(E583=Supuestos!$D$6,"Vence hoy","Por vencer")))),"")</f>
        <v/>
      </c>
      <c r="T583" s="46">
        <f>IF(AND(Creditos!$C$15&lt;&gt;"",Creditos!$M$15="OK",38&lt;=Creditos!$H$15),IF(P583&gt;0.005,E583,999999),999999)</f>
        <v>999999</v>
      </c>
    </row>
    <row r="584" ht="25.5" customHeight="1">
      <c r="C584" s="46" t="str">
        <f>IF(AND(Creditos!$C$15&lt;&gt;"",Creditos!$M$15="OK",39&lt;=Creditos!$H$15),Creditos!$C$15,"")</f>
        <v/>
      </c>
      <c r="D584" s="46" t="str">
        <f>IF(AND(Creditos!$C$15&lt;&gt;"",Creditos!$M$15="OK",39&lt;=Creditos!$H$15),39,"")</f>
        <v/>
      </c>
      <c r="E584" s="47" t="str">
        <f>IF(AND(Creditos!$C$15&lt;&gt;"",Creditos!$M$15="OK",39&lt;=Creditos!$H$15),EDATE(Creditos!$I$15,38),"")</f>
        <v/>
      </c>
      <c r="F584" s="48" t="str">
        <f>IF(AND(Creditos!$C$15&lt;&gt;"",Creditos!$M$15="OK",39&lt;=Creditos!$H$15),M583,"")</f>
        <v/>
      </c>
      <c r="G584" s="49" t="str">
        <f>IF(AND(Creditos!$C$15&lt;&gt;"",Creditos!$M$15="OK",39&lt;=Creditos!$H$15),Creditos!$N$15,"")</f>
        <v/>
      </c>
      <c r="H584" s="48" t="str">
        <f>IF(AND(Creditos!$C$15&lt;&gt;"",Creditos!$M$15="OK",39&lt;=Creditos!$H$15),ROUND(F584*G584,2),"")</f>
        <v/>
      </c>
      <c r="I584" s="48" t="str">
        <f>IF(AND(Creditos!$C$15&lt;&gt;"",Creditos!$M$15="OK",39&lt;=Creditos!$H$15),IF(39=Creditos!$H$15,F584+H584,MIN(Creditos!$O$15,F584+H584)),"")</f>
        <v/>
      </c>
      <c r="J584" s="48" t="str">
        <f>IF(AND(Creditos!$C$15&lt;&gt;"",Creditos!$M$15="OK",39&lt;=Creditos!$H$15),MIN(F584,MAX(0,I584-H584)),"")</f>
        <v/>
      </c>
      <c r="K584" s="48" t="str">
        <f>IF(AND(Creditos!$C$15&lt;&gt;"",Creditos!$M$15="OK",39&lt;=Creditos!$H$15),Creditos!$J$15+Creditos!$K$15,"")</f>
        <v/>
      </c>
      <c r="L584" s="48" t="str">
        <f>IF(AND(Creditos!$C$15&lt;&gt;"",Creditos!$M$15="OK",39&lt;=Creditos!$H$15),I584+K584,"")</f>
        <v/>
      </c>
      <c r="M584" s="48" t="str">
        <f>IF(AND(Creditos!$C$15&lt;&gt;"",Creditos!$M$15="OK",39&lt;=Creditos!$H$15),MAX(0,F584-J584),"")</f>
        <v/>
      </c>
      <c r="N584" s="48" t="str">
        <f>IF(AND(Creditos!$C$15&lt;&gt;"",Creditos!$M$15="OK",39&lt;=Creditos!$H$15),SUMIFS(Pagos!$F$6:$F$305,Pagos!$C$6:$C$305,C584,Pagos!$D$6:$D$305,D584,Pagos!$E$6:$E$305,"&lt;="&amp;Supuestos!$D$6,Pagos!$H$6:$H$305,"OK"),"")</f>
        <v/>
      </c>
      <c r="O584" s="48" t="str">
        <f>IF(AND(Creditos!$C$15&lt;&gt;"",Creditos!$M$15="OK",39&lt;=Creditos!$H$15),MIN(J584,MAX(0,N584-K584-H584)),"")</f>
        <v/>
      </c>
      <c r="P584" s="48" t="str">
        <f>IF(AND(Creditos!$C$15&lt;&gt;"",Creditos!$M$15="OK",39&lt;=Creditos!$H$15),MAX(0,L584-N584),"")</f>
        <v/>
      </c>
      <c r="Q584" s="50" t="str">
        <f>IF(AND(Creditos!$C$15&lt;&gt;"",Creditos!$M$15="OK",39&lt;=Creditos!$H$15),IF(AND(E584&lt;Supuestos!$D$6,P584&gt;0.005),Supuestos!$D$6-E584,0),"")</f>
        <v/>
      </c>
      <c r="R584" s="48" t="str">
        <f>IF(AND(Creditos!$C$15&lt;&gt;"",Creditos!$M$15="OK",39&lt;=Creditos!$H$15),MAX(0,N584-L584),"")</f>
        <v/>
      </c>
      <c r="S584" s="46" t="str">
        <f>IF(AND(Creditos!$C$15&lt;&gt;"",Creditos!$M$15="OK",39&lt;=Creditos!$H$15),IF(R584&gt;0.005,"Exceso sin imputar",IF(P584&lt;=0.005,"Pagada",IF(E584&lt;Supuestos!$D$6,"Vencida",IF(E584=Supuestos!$D$6,"Vence hoy","Por vencer")))),"")</f>
        <v/>
      </c>
      <c r="T584" s="46">
        <f>IF(AND(Creditos!$C$15&lt;&gt;"",Creditos!$M$15="OK",39&lt;=Creditos!$H$15),IF(P584&gt;0.005,E584,999999),999999)</f>
        <v>999999</v>
      </c>
    </row>
    <row r="585" ht="25.5" customHeight="1">
      <c r="C585" s="46" t="str">
        <f>IF(AND(Creditos!$C$15&lt;&gt;"",Creditos!$M$15="OK",40&lt;=Creditos!$H$15),Creditos!$C$15,"")</f>
        <v/>
      </c>
      <c r="D585" s="46" t="str">
        <f>IF(AND(Creditos!$C$15&lt;&gt;"",Creditos!$M$15="OK",40&lt;=Creditos!$H$15),40,"")</f>
        <v/>
      </c>
      <c r="E585" s="47" t="str">
        <f>IF(AND(Creditos!$C$15&lt;&gt;"",Creditos!$M$15="OK",40&lt;=Creditos!$H$15),EDATE(Creditos!$I$15,39),"")</f>
        <v/>
      </c>
      <c r="F585" s="48" t="str">
        <f>IF(AND(Creditos!$C$15&lt;&gt;"",Creditos!$M$15="OK",40&lt;=Creditos!$H$15),M584,"")</f>
        <v/>
      </c>
      <c r="G585" s="49" t="str">
        <f>IF(AND(Creditos!$C$15&lt;&gt;"",Creditos!$M$15="OK",40&lt;=Creditos!$H$15),Creditos!$N$15,"")</f>
        <v/>
      </c>
      <c r="H585" s="48" t="str">
        <f>IF(AND(Creditos!$C$15&lt;&gt;"",Creditos!$M$15="OK",40&lt;=Creditos!$H$15),ROUND(F585*G585,2),"")</f>
        <v/>
      </c>
      <c r="I585" s="48" t="str">
        <f>IF(AND(Creditos!$C$15&lt;&gt;"",Creditos!$M$15="OK",40&lt;=Creditos!$H$15),IF(40=Creditos!$H$15,F585+H585,MIN(Creditos!$O$15,F585+H585)),"")</f>
        <v/>
      </c>
      <c r="J585" s="48" t="str">
        <f>IF(AND(Creditos!$C$15&lt;&gt;"",Creditos!$M$15="OK",40&lt;=Creditos!$H$15),MIN(F585,MAX(0,I585-H585)),"")</f>
        <v/>
      </c>
      <c r="K585" s="48" t="str">
        <f>IF(AND(Creditos!$C$15&lt;&gt;"",Creditos!$M$15="OK",40&lt;=Creditos!$H$15),Creditos!$J$15+Creditos!$K$15,"")</f>
        <v/>
      </c>
      <c r="L585" s="48" t="str">
        <f>IF(AND(Creditos!$C$15&lt;&gt;"",Creditos!$M$15="OK",40&lt;=Creditos!$H$15),I585+K585,"")</f>
        <v/>
      </c>
      <c r="M585" s="48" t="str">
        <f>IF(AND(Creditos!$C$15&lt;&gt;"",Creditos!$M$15="OK",40&lt;=Creditos!$H$15),MAX(0,F585-J585),"")</f>
        <v/>
      </c>
      <c r="N585" s="48" t="str">
        <f>IF(AND(Creditos!$C$15&lt;&gt;"",Creditos!$M$15="OK",40&lt;=Creditos!$H$15),SUMIFS(Pagos!$F$6:$F$305,Pagos!$C$6:$C$305,C585,Pagos!$D$6:$D$305,D585,Pagos!$E$6:$E$305,"&lt;="&amp;Supuestos!$D$6,Pagos!$H$6:$H$305,"OK"),"")</f>
        <v/>
      </c>
      <c r="O585" s="48" t="str">
        <f>IF(AND(Creditos!$C$15&lt;&gt;"",Creditos!$M$15="OK",40&lt;=Creditos!$H$15),MIN(J585,MAX(0,N585-K585-H585)),"")</f>
        <v/>
      </c>
      <c r="P585" s="48" t="str">
        <f>IF(AND(Creditos!$C$15&lt;&gt;"",Creditos!$M$15="OK",40&lt;=Creditos!$H$15),MAX(0,L585-N585),"")</f>
        <v/>
      </c>
      <c r="Q585" s="50" t="str">
        <f>IF(AND(Creditos!$C$15&lt;&gt;"",Creditos!$M$15="OK",40&lt;=Creditos!$H$15),IF(AND(E585&lt;Supuestos!$D$6,P585&gt;0.005),Supuestos!$D$6-E585,0),"")</f>
        <v/>
      </c>
      <c r="R585" s="48" t="str">
        <f>IF(AND(Creditos!$C$15&lt;&gt;"",Creditos!$M$15="OK",40&lt;=Creditos!$H$15),MAX(0,N585-L585),"")</f>
        <v/>
      </c>
      <c r="S585" s="46" t="str">
        <f>IF(AND(Creditos!$C$15&lt;&gt;"",Creditos!$M$15="OK",40&lt;=Creditos!$H$15),IF(R585&gt;0.005,"Exceso sin imputar",IF(P585&lt;=0.005,"Pagada",IF(E585&lt;Supuestos!$D$6,"Vencida",IF(E585=Supuestos!$D$6,"Vence hoy","Por vencer")))),"")</f>
        <v/>
      </c>
      <c r="T585" s="46">
        <f>IF(AND(Creditos!$C$15&lt;&gt;"",Creditos!$M$15="OK",40&lt;=Creditos!$H$15),IF(P585&gt;0.005,E585,999999),999999)</f>
        <v>999999</v>
      </c>
    </row>
    <row r="586" ht="25.5" customHeight="1">
      <c r="C586" s="46" t="str">
        <f>IF(AND(Creditos!$C$15&lt;&gt;"",Creditos!$M$15="OK",41&lt;=Creditos!$H$15),Creditos!$C$15,"")</f>
        <v/>
      </c>
      <c r="D586" s="46" t="str">
        <f>IF(AND(Creditos!$C$15&lt;&gt;"",Creditos!$M$15="OK",41&lt;=Creditos!$H$15),41,"")</f>
        <v/>
      </c>
      <c r="E586" s="47" t="str">
        <f>IF(AND(Creditos!$C$15&lt;&gt;"",Creditos!$M$15="OK",41&lt;=Creditos!$H$15),EDATE(Creditos!$I$15,40),"")</f>
        <v/>
      </c>
      <c r="F586" s="48" t="str">
        <f>IF(AND(Creditos!$C$15&lt;&gt;"",Creditos!$M$15="OK",41&lt;=Creditos!$H$15),M585,"")</f>
        <v/>
      </c>
      <c r="G586" s="49" t="str">
        <f>IF(AND(Creditos!$C$15&lt;&gt;"",Creditos!$M$15="OK",41&lt;=Creditos!$H$15),Creditos!$N$15,"")</f>
        <v/>
      </c>
      <c r="H586" s="48" t="str">
        <f>IF(AND(Creditos!$C$15&lt;&gt;"",Creditos!$M$15="OK",41&lt;=Creditos!$H$15),ROUND(F586*G586,2),"")</f>
        <v/>
      </c>
      <c r="I586" s="48" t="str">
        <f>IF(AND(Creditos!$C$15&lt;&gt;"",Creditos!$M$15="OK",41&lt;=Creditos!$H$15),IF(41=Creditos!$H$15,F586+H586,MIN(Creditos!$O$15,F586+H586)),"")</f>
        <v/>
      </c>
      <c r="J586" s="48" t="str">
        <f>IF(AND(Creditos!$C$15&lt;&gt;"",Creditos!$M$15="OK",41&lt;=Creditos!$H$15),MIN(F586,MAX(0,I586-H586)),"")</f>
        <v/>
      </c>
      <c r="K586" s="48" t="str">
        <f>IF(AND(Creditos!$C$15&lt;&gt;"",Creditos!$M$15="OK",41&lt;=Creditos!$H$15),Creditos!$J$15+Creditos!$K$15,"")</f>
        <v/>
      </c>
      <c r="L586" s="48" t="str">
        <f>IF(AND(Creditos!$C$15&lt;&gt;"",Creditos!$M$15="OK",41&lt;=Creditos!$H$15),I586+K586,"")</f>
        <v/>
      </c>
      <c r="M586" s="48" t="str">
        <f>IF(AND(Creditos!$C$15&lt;&gt;"",Creditos!$M$15="OK",41&lt;=Creditos!$H$15),MAX(0,F586-J586),"")</f>
        <v/>
      </c>
      <c r="N586" s="48" t="str">
        <f>IF(AND(Creditos!$C$15&lt;&gt;"",Creditos!$M$15="OK",41&lt;=Creditos!$H$15),SUMIFS(Pagos!$F$6:$F$305,Pagos!$C$6:$C$305,C586,Pagos!$D$6:$D$305,D586,Pagos!$E$6:$E$305,"&lt;="&amp;Supuestos!$D$6,Pagos!$H$6:$H$305,"OK"),"")</f>
        <v/>
      </c>
      <c r="O586" s="48" t="str">
        <f>IF(AND(Creditos!$C$15&lt;&gt;"",Creditos!$M$15="OK",41&lt;=Creditos!$H$15),MIN(J586,MAX(0,N586-K586-H586)),"")</f>
        <v/>
      </c>
      <c r="P586" s="48" t="str">
        <f>IF(AND(Creditos!$C$15&lt;&gt;"",Creditos!$M$15="OK",41&lt;=Creditos!$H$15),MAX(0,L586-N586),"")</f>
        <v/>
      </c>
      <c r="Q586" s="50" t="str">
        <f>IF(AND(Creditos!$C$15&lt;&gt;"",Creditos!$M$15="OK",41&lt;=Creditos!$H$15),IF(AND(E586&lt;Supuestos!$D$6,P586&gt;0.005),Supuestos!$D$6-E586,0),"")</f>
        <v/>
      </c>
      <c r="R586" s="48" t="str">
        <f>IF(AND(Creditos!$C$15&lt;&gt;"",Creditos!$M$15="OK",41&lt;=Creditos!$H$15),MAX(0,N586-L586),"")</f>
        <v/>
      </c>
      <c r="S586" s="46" t="str">
        <f>IF(AND(Creditos!$C$15&lt;&gt;"",Creditos!$M$15="OK",41&lt;=Creditos!$H$15),IF(R586&gt;0.005,"Exceso sin imputar",IF(P586&lt;=0.005,"Pagada",IF(E586&lt;Supuestos!$D$6,"Vencida",IF(E586=Supuestos!$D$6,"Vence hoy","Por vencer")))),"")</f>
        <v/>
      </c>
      <c r="T586" s="46">
        <f>IF(AND(Creditos!$C$15&lt;&gt;"",Creditos!$M$15="OK",41&lt;=Creditos!$H$15),IF(P586&gt;0.005,E586,999999),999999)</f>
        <v>999999</v>
      </c>
    </row>
    <row r="587" ht="25.5" customHeight="1">
      <c r="C587" s="46" t="str">
        <f>IF(AND(Creditos!$C$15&lt;&gt;"",Creditos!$M$15="OK",42&lt;=Creditos!$H$15),Creditos!$C$15,"")</f>
        <v/>
      </c>
      <c r="D587" s="46" t="str">
        <f>IF(AND(Creditos!$C$15&lt;&gt;"",Creditos!$M$15="OK",42&lt;=Creditos!$H$15),42,"")</f>
        <v/>
      </c>
      <c r="E587" s="47" t="str">
        <f>IF(AND(Creditos!$C$15&lt;&gt;"",Creditos!$M$15="OK",42&lt;=Creditos!$H$15),EDATE(Creditos!$I$15,41),"")</f>
        <v/>
      </c>
      <c r="F587" s="48" t="str">
        <f>IF(AND(Creditos!$C$15&lt;&gt;"",Creditos!$M$15="OK",42&lt;=Creditos!$H$15),M586,"")</f>
        <v/>
      </c>
      <c r="G587" s="49" t="str">
        <f>IF(AND(Creditos!$C$15&lt;&gt;"",Creditos!$M$15="OK",42&lt;=Creditos!$H$15),Creditos!$N$15,"")</f>
        <v/>
      </c>
      <c r="H587" s="48" t="str">
        <f>IF(AND(Creditos!$C$15&lt;&gt;"",Creditos!$M$15="OK",42&lt;=Creditos!$H$15),ROUND(F587*G587,2),"")</f>
        <v/>
      </c>
      <c r="I587" s="48" t="str">
        <f>IF(AND(Creditos!$C$15&lt;&gt;"",Creditos!$M$15="OK",42&lt;=Creditos!$H$15),IF(42=Creditos!$H$15,F587+H587,MIN(Creditos!$O$15,F587+H587)),"")</f>
        <v/>
      </c>
      <c r="J587" s="48" t="str">
        <f>IF(AND(Creditos!$C$15&lt;&gt;"",Creditos!$M$15="OK",42&lt;=Creditos!$H$15),MIN(F587,MAX(0,I587-H587)),"")</f>
        <v/>
      </c>
      <c r="K587" s="48" t="str">
        <f>IF(AND(Creditos!$C$15&lt;&gt;"",Creditos!$M$15="OK",42&lt;=Creditos!$H$15),Creditos!$J$15+Creditos!$K$15,"")</f>
        <v/>
      </c>
      <c r="L587" s="48" t="str">
        <f>IF(AND(Creditos!$C$15&lt;&gt;"",Creditos!$M$15="OK",42&lt;=Creditos!$H$15),I587+K587,"")</f>
        <v/>
      </c>
      <c r="M587" s="48" t="str">
        <f>IF(AND(Creditos!$C$15&lt;&gt;"",Creditos!$M$15="OK",42&lt;=Creditos!$H$15),MAX(0,F587-J587),"")</f>
        <v/>
      </c>
      <c r="N587" s="48" t="str">
        <f>IF(AND(Creditos!$C$15&lt;&gt;"",Creditos!$M$15="OK",42&lt;=Creditos!$H$15),SUMIFS(Pagos!$F$6:$F$305,Pagos!$C$6:$C$305,C587,Pagos!$D$6:$D$305,D587,Pagos!$E$6:$E$305,"&lt;="&amp;Supuestos!$D$6,Pagos!$H$6:$H$305,"OK"),"")</f>
        <v/>
      </c>
      <c r="O587" s="48" t="str">
        <f>IF(AND(Creditos!$C$15&lt;&gt;"",Creditos!$M$15="OK",42&lt;=Creditos!$H$15),MIN(J587,MAX(0,N587-K587-H587)),"")</f>
        <v/>
      </c>
      <c r="P587" s="48" t="str">
        <f>IF(AND(Creditos!$C$15&lt;&gt;"",Creditos!$M$15="OK",42&lt;=Creditos!$H$15),MAX(0,L587-N587),"")</f>
        <v/>
      </c>
      <c r="Q587" s="50" t="str">
        <f>IF(AND(Creditos!$C$15&lt;&gt;"",Creditos!$M$15="OK",42&lt;=Creditos!$H$15),IF(AND(E587&lt;Supuestos!$D$6,P587&gt;0.005),Supuestos!$D$6-E587,0),"")</f>
        <v/>
      </c>
      <c r="R587" s="48" t="str">
        <f>IF(AND(Creditos!$C$15&lt;&gt;"",Creditos!$M$15="OK",42&lt;=Creditos!$H$15),MAX(0,N587-L587),"")</f>
        <v/>
      </c>
      <c r="S587" s="46" t="str">
        <f>IF(AND(Creditos!$C$15&lt;&gt;"",Creditos!$M$15="OK",42&lt;=Creditos!$H$15),IF(R587&gt;0.005,"Exceso sin imputar",IF(P587&lt;=0.005,"Pagada",IF(E587&lt;Supuestos!$D$6,"Vencida",IF(E587=Supuestos!$D$6,"Vence hoy","Por vencer")))),"")</f>
        <v/>
      </c>
      <c r="T587" s="46">
        <f>IF(AND(Creditos!$C$15&lt;&gt;"",Creditos!$M$15="OK",42&lt;=Creditos!$H$15),IF(P587&gt;0.005,E587,999999),999999)</f>
        <v>999999</v>
      </c>
    </row>
    <row r="588" ht="25.5" customHeight="1">
      <c r="C588" s="46" t="str">
        <f>IF(AND(Creditos!$C$15&lt;&gt;"",Creditos!$M$15="OK",43&lt;=Creditos!$H$15),Creditos!$C$15,"")</f>
        <v/>
      </c>
      <c r="D588" s="46" t="str">
        <f>IF(AND(Creditos!$C$15&lt;&gt;"",Creditos!$M$15="OK",43&lt;=Creditos!$H$15),43,"")</f>
        <v/>
      </c>
      <c r="E588" s="47" t="str">
        <f>IF(AND(Creditos!$C$15&lt;&gt;"",Creditos!$M$15="OK",43&lt;=Creditos!$H$15),EDATE(Creditos!$I$15,42),"")</f>
        <v/>
      </c>
      <c r="F588" s="48" t="str">
        <f>IF(AND(Creditos!$C$15&lt;&gt;"",Creditos!$M$15="OK",43&lt;=Creditos!$H$15),M587,"")</f>
        <v/>
      </c>
      <c r="G588" s="49" t="str">
        <f>IF(AND(Creditos!$C$15&lt;&gt;"",Creditos!$M$15="OK",43&lt;=Creditos!$H$15),Creditos!$N$15,"")</f>
        <v/>
      </c>
      <c r="H588" s="48" t="str">
        <f>IF(AND(Creditos!$C$15&lt;&gt;"",Creditos!$M$15="OK",43&lt;=Creditos!$H$15),ROUND(F588*G588,2),"")</f>
        <v/>
      </c>
      <c r="I588" s="48" t="str">
        <f>IF(AND(Creditos!$C$15&lt;&gt;"",Creditos!$M$15="OK",43&lt;=Creditos!$H$15),IF(43=Creditos!$H$15,F588+H588,MIN(Creditos!$O$15,F588+H588)),"")</f>
        <v/>
      </c>
      <c r="J588" s="48" t="str">
        <f>IF(AND(Creditos!$C$15&lt;&gt;"",Creditos!$M$15="OK",43&lt;=Creditos!$H$15),MIN(F588,MAX(0,I588-H588)),"")</f>
        <v/>
      </c>
      <c r="K588" s="48" t="str">
        <f>IF(AND(Creditos!$C$15&lt;&gt;"",Creditos!$M$15="OK",43&lt;=Creditos!$H$15),Creditos!$J$15+Creditos!$K$15,"")</f>
        <v/>
      </c>
      <c r="L588" s="48" t="str">
        <f>IF(AND(Creditos!$C$15&lt;&gt;"",Creditos!$M$15="OK",43&lt;=Creditos!$H$15),I588+K588,"")</f>
        <v/>
      </c>
      <c r="M588" s="48" t="str">
        <f>IF(AND(Creditos!$C$15&lt;&gt;"",Creditos!$M$15="OK",43&lt;=Creditos!$H$15),MAX(0,F588-J588),"")</f>
        <v/>
      </c>
      <c r="N588" s="48" t="str">
        <f>IF(AND(Creditos!$C$15&lt;&gt;"",Creditos!$M$15="OK",43&lt;=Creditos!$H$15),SUMIFS(Pagos!$F$6:$F$305,Pagos!$C$6:$C$305,C588,Pagos!$D$6:$D$305,D588,Pagos!$E$6:$E$305,"&lt;="&amp;Supuestos!$D$6,Pagos!$H$6:$H$305,"OK"),"")</f>
        <v/>
      </c>
      <c r="O588" s="48" t="str">
        <f>IF(AND(Creditos!$C$15&lt;&gt;"",Creditos!$M$15="OK",43&lt;=Creditos!$H$15),MIN(J588,MAX(0,N588-K588-H588)),"")</f>
        <v/>
      </c>
      <c r="P588" s="48" t="str">
        <f>IF(AND(Creditos!$C$15&lt;&gt;"",Creditos!$M$15="OK",43&lt;=Creditos!$H$15),MAX(0,L588-N588),"")</f>
        <v/>
      </c>
      <c r="Q588" s="50" t="str">
        <f>IF(AND(Creditos!$C$15&lt;&gt;"",Creditos!$M$15="OK",43&lt;=Creditos!$H$15),IF(AND(E588&lt;Supuestos!$D$6,P588&gt;0.005),Supuestos!$D$6-E588,0),"")</f>
        <v/>
      </c>
      <c r="R588" s="48" t="str">
        <f>IF(AND(Creditos!$C$15&lt;&gt;"",Creditos!$M$15="OK",43&lt;=Creditos!$H$15),MAX(0,N588-L588),"")</f>
        <v/>
      </c>
      <c r="S588" s="46" t="str">
        <f>IF(AND(Creditos!$C$15&lt;&gt;"",Creditos!$M$15="OK",43&lt;=Creditos!$H$15),IF(R588&gt;0.005,"Exceso sin imputar",IF(P588&lt;=0.005,"Pagada",IF(E588&lt;Supuestos!$D$6,"Vencida",IF(E588=Supuestos!$D$6,"Vence hoy","Por vencer")))),"")</f>
        <v/>
      </c>
      <c r="T588" s="46">
        <f>IF(AND(Creditos!$C$15&lt;&gt;"",Creditos!$M$15="OK",43&lt;=Creditos!$H$15),IF(P588&gt;0.005,E588,999999),999999)</f>
        <v>999999</v>
      </c>
    </row>
    <row r="589" ht="25.5" customHeight="1">
      <c r="C589" s="46" t="str">
        <f>IF(AND(Creditos!$C$15&lt;&gt;"",Creditos!$M$15="OK",44&lt;=Creditos!$H$15),Creditos!$C$15,"")</f>
        <v/>
      </c>
      <c r="D589" s="46" t="str">
        <f>IF(AND(Creditos!$C$15&lt;&gt;"",Creditos!$M$15="OK",44&lt;=Creditos!$H$15),44,"")</f>
        <v/>
      </c>
      <c r="E589" s="47" t="str">
        <f>IF(AND(Creditos!$C$15&lt;&gt;"",Creditos!$M$15="OK",44&lt;=Creditos!$H$15),EDATE(Creditos!$I$15,43),"")</f>
        <v/>
      </c>
      <c r="F589" s="48" t="str">
        <f>IF(AND(Creditos!$C$15&lt;&gt;"",Creditos!$M$15="OK",44&lt;=Creditos!$H$15),M588,"")</f>
        <v/>
      </c>
      <c r="G589" s="49" t="str">
        <f>IF(AND(Creditos!$C$15&lt;&gt;"",Creditos!$M$15="OK",44&lt;=Creditos!$H$15),Creditos!$N$15,"")</f>
        <v/>
      </c>
      <c r="H589" s="48" t="str">
        <f>IF(AND(Creditos!$C$15&lt;&gt;"",Creditos!$M$15="OK",44&lt;=Creditos!$H$15),ROUND(F589*G589,2),"")</f>
        <v/>
      </c>
      <c r="I589" s="48" t="str">
        <f>IF(AND(Creditos!$C$15&lt;&gt;"",Creditos!$M$15="OK",44&lt;=Creditos!$H$15),IF(44=Creditos!$H$15,F589+H589,MIN(Creditos!$O$15,F589+H589)),"")</f>
        <v/>
      </c>
      <c r="J589" s="48" t="str">
        <f>IF(AND(Creditos!$C$15&lt;&gt;"",Creditos!$M$15="OK",44&lt;=Creditos!$H$15),MIN(F589,MAX(0,I589-H589)),"")</f>
        <v/>
      </c>
      <c r="K589" s="48" t="str">
        <f>IF(AND(Creditos!$C$15&lt;&gt;"",Creditos!$M$15="OK",44&lt;=Creditos!$H$15),Creditos!$J$15+Creditos!$K$15,"")</f>
        <v/>
      </c>
      <c r="L589" s="48" t="str">
        <f>IF(AND(Creditos!$C$15&lt;&gt;"",Creditos!$M$15="OK",44&lt;=Creditos!$H$15),I589+K589,"")</f>
        <v/>
      </c>
      <c r="M589" s="48" t="str">
        <f>IF(AND(Creditos!$C$15&lt;&gt;"",Creditos!$M$15="OK",44&lt;=Creditos!$H$15),MAX(0,F589-J589),"")</f>
        <v/>
      </c>
      <c r="N589" s="48" t="str">
        <f>IF(AND(Creditos!$C$15&lt;&gt;"",Creditos!$M$15="OK",44&lt;=Creditos!$H$15),SUMIFS(Pagos!$F$6:$F$305,Pagos!$C$6:$C$305,C589,Pagos!$D$6:$D$305,D589,Pagos!$E$6:$E$305,"&lt;="&amp;Supuestos!$D$6,Pagos!$H$6:$H$305,"OK"),"")</f>
        <v/>
      </c>
      <c r="O589" s="48" t="str">
        <f>IF(AND(Creditos!$C$15&lt;&gt;"",Creditos!$M$15="OK",44&lt;=Creditos!$H$15),MIN(J589,MAX(0,N589-K589-H589)),"")</f>
        <v/>
      </c>
      <c r="P589" s="48" t="str">
        <f>IF(AND(Creditos!$C$15&lt;&gt;"",Creditos!$M$15="OK",44&lt;=Creditos!$H$15),MAX(0,L589-N589),"")</f>
        <v/>
      </c>
      <c r="Q589" s="50" t="str">
        <f>IF(AND(Creditos!$C$15&lt;&gt;"",Creditos!$M$15="OK",44&lt;=Creditos!$H$15),IF(AND(E589&lt;Supuestos!$D$6,P589&gt;0.005),Supuestos!$D$6-E589,0),"")</f>
        <v/>
      </c>
      <c r="R589" s="48" t="str">
        <f>IF(AND(Creditos!$C$15&lt;&gt;"",Creditos!$M$15="OK",44&lt;=Creditos!$H$15),MAX(0,N589-L589),"")</f>
        <v/>
      </c>
      <c r="S589" s="46" t="str">
        <f>IF(AND(Creditos!$C$15&lt;&gt;"",Creditos!$M$15="OK",44&lt;=Creditos!$H$15),IF(R589&gt;0.005,"Exceso sin imputar",IF(P589&lt;=0.005,"Pagada",IF(E589&lt;Supuestos!$D$6,"Vencida",IF(E589=Supuestos!$D$6,"Vence hoy","Por vencer")))),"")</f>
        <v/>
      </c>
      <c r="T589" s="46">
        <f>IF(AND(Creditos!$C$15&lt;&gt;"",Creditos!$M$15="OK",44&lt;=Creditos!$H$15),IF(P589&gt;0.005,E589,999999),999999)</f>
        <v>999999</v>
      </c>
    </row>
    <row r="590" ht="25.5" customHeight="1">
      <c r="C590" s="46" t="str">
        <f>IF(AND(Creditos!$C$15&lt;&gt;"",Creditos!$M$15="OK",45&lt;=Creditos!$H$15),Creditos!$C$15,"")</f>
        <v/>
      </c>
      <c r="D590" s="46" t="str">
        <f>IF(AND(Creditos!$C$15&lt;&gt;"",Creditos!$M$15="OK",45&lt;=Creditos!$H$15),45,"")</f>
        <v/>
      </c>
      <c r="E590" s="47" t="str">
        <f>IF(AND(Creditos!$C$15&lt;&gt;"",Creditos!$M$15="OK",45&lt;=Creditos!$H$15),EDATE(Creditos!$I$15,44),"")</f>
        <v/>
      </c>
      <c r="F590" s="48" t="str">
        <f>IF(AND(Creditos!$C$15&lt;&gt;"",Creditos!$M$15="OK",45&lt;=Creditos!$H$15),M589,"")</f>
        <v/>
      </c>
      <c r="G590" s="49" t="str">
        <f>IF(AND(Creditos!$C$15&lt;&gt;"",Creditos!$M$15="OK",45&lt;=Creditos!$H$15),Creditos!$N$15,"")</f>
        <v/>
      </c>
      <c r="H590" s="48" t="str">
        <f>IF(AND(Creditos!$C$15&lt;&gt;"",Creditos!$M$15="OK",45&lt;=Creditos!$H$15),ROUND(F590*G590,2),"")</f>
        <v/>
      </c>
      <c r="I590" s="48" t="str">
        <f>IF(AND(Creditos!$C$15&lt;&gt;"",Creditos!$M$15="OK",45&lt;=Creditos!$H$15),IF(45=Creditos!$H$15,F590+H590,MIN(Creditos!$O$15,F590+H590)),"")</f>
        <v/>
      </c>
      <c r="J590" s="48" t="str">
        <f>IF(AND(Creditos!$C$15&lt;&gt;"",Creditos!$M$15="OK",45&lt;=Creditos!$H$15),MIN(F590,MAX(0,I590-H590)),"")</f>
        <v/>
      </c>
      <c r="K590" s="48" t="str">
        <f>IF(AND(Creditos!$C$15&lt;&gt;"",Creditos!$M$15="OK",45&lt;=Creditos!$H$15),Creditos!$J$15+Creditos!$K$15,"")</f>
        <v/>
      </c>
      <c r="L590" s="48" t="str">
        <f>IF(AND(Creditos!$C$15&lt;&gt;"",Creditos!$M$15="OK",45&lt;=Creditos!$H$15),I590+K590,"")</f>
        <v/>
      </c>
      <c r="M590" s="48" t="str">
        <f>IF(AND(Creditos!$C$15&lt;&gt;"",Creditos!$M$15="OK",45&lt;=Creditos!$H$15),MAX(0,F590-J590),"")</f>
        <v/>
      </c>
      <c r="N590" s="48" t="str">
        <f>IF(AND(Creditos!$C$15&lt;&gt;"",Creditos!$M$15="OK",45&lt;=Creditos!$H$15),SUMIFS(Pagos!$F$6:$F$305,Pagos!$C$6:$C$305,C590,Pagos!$D$6:$D$305,D590,Pagos!$E$6:$E$305,"&lt;="&amp;Supuestos!$D$6,Pagos!$H$6:$H$305,"OK"),"")</f>
        <v/>
      </c>
      <c r="O590" s="48" t="str">
        <f>IF(AND(Creditos!$C$15&lt;&gt;"",Creditos!$M$15="OK",45&lt;=Creditos!$H$15),MIN(J590,MAX(0,N590-K590-H590)),"")</f>
        <v/>
      </c>
      <c r="P590" s="48" t="str">
        <f>IF(AND(Creditos!$C$15&lt;&gt;"",Creditos!$M$15="OK",45&lt;=Creditos!$H$15),MAX(0,L590-N590),"")</f>
        <v/>
      </c>
      <c r="Q590" s="50" t="str">
        <f>IF(AND(Creditos!$C$15&lt;&gt;"",Creditos!$M$15="OK",45&lt;=Creditos!$H$15),IF(AND(E590&lt;Supuestos!$D$6,P590&gt;0.005),Supuestos!$D$6-E590,0),"")</f>
        <v/>
      </c>
      <c r="R590" s="48" t="str">
        <f>IF(AND(Creditos!$C$15&lt;&gt;"",Creditos!$M$15="OK",45&lt;=Creditos!$H$15),MAX(0,N590-L590),"")</f>
        <v/>
      </c>
      <c r="S590" s="46" t="str">
        <f>IF(AND(Creditos!$C$15&lt;&gt;"",Creditos!$M$15="OK",45&lt;=Creditos!$H$15),IF(R590&gt;0.005,"Exceso sin imputar",IF(P590&lt;=0.005,"Pagada",IF(E590&lt;Supuestos!$D$6,"Vencida",IF(E590=Supuestos!$D$6,"Vence hoy","Por vencer")))),"")</f>
        <v/>
      </c>
      <c r="T590" s="46">
        <f>IF(AND(Creditos!$C$15&lt;&gt;"",Creditos!$M$15="OK",45&lt;=Creditos!$H$15),IF(P590&gt;0.005,E590,999999),999999)</f>
        <v>999999</v>
      </c>
    </row>
    <row r="591" ht="25.5" customHeight="1">
      <c r="C591" s="46" t="str">
        <f>IF(AND(Creditos!$C$15&lt;&gt;"",Creditos!$M$15="OK",46&lt;=Creditos!$H$15),Creditos!$C$15,"")</f>
        <v/>
      </c>
      <c r="D591" s="46" t="str">
        <f>IF(AND(Creditos!$C$15&lt;&gt;"",Creditos!$M$15="OK",46&lt;=Creditos!$H$15),46,"")</f>
        <v/>
      </c>
      <c r="E591" s="47" t="str">
        <f>IF(AND(Creditos!$C$15&lt;&gt;"",Creditos!$M$15="OK",46&lt;=Creditos!$H$15),EDATE(Creditos!$I$15,45),"")</f>
        <v/>
      </c>
      <c r="F591" s="48" t="str">
        <f>IF(AND(Creditos!$C$15&lt;&gt;"",Creditos!$M$15="OK",46&lt;=Creditos!$H$15),M590,"")</f>
        <v/>
      </c>
      <c r="G591" s="49" t="str">
        <f>IF(AND(Creditos!$C$15&lt;&gt;"",Creditos!$M$15="OK",46&lt;=Creditos!$H$15),Creditos!$N$15,"")</f>
        <v/>
      </c>
      <c r="H591" s="48" t="str">
        <f>IF(AND(Creditos!$C$15&lt;&gt;"",Creditos!$M$15="OK",46&lt;=Creditos!$H$15),ROUND(F591*G591,2),"")</f>
        <v/>
      </c>
      <c r="I591" s="48" t="str">
        <f>IF(AND(Creditos!$C$15&lt;&gt;"",Creditos!$M$15="OK",46&lt;=Creditos!$H$15),IF(46=Creditos!$H$15,F591+H591,MIN(Creditos!$O$15,F591+H591)),"")</f>
        <v/>
      </c>
      <c r="J591" s="48" t="str">
        <f>IF(AND(Creditos!$C$15&lt;&gt;"",Creditos!$M$15="OK",46&lt;=Creditos!$H$15),MIN(F591,MAX(0,I591-H591)),"")</f>
        <v/>
      </c>
      <c r="K591" s="48" t="str">
        <f>IF(AND(Creditos!$C$15&lt;&gt;"",Creditos!$M$15="OK",46&lt;=Creditos!$H$15),Creditos!$J$15+Creditos!$K$15,"")</f>
        <v/>
      </c>
      <c r="L591" s="48" t="str">
        <f>IF(AND(Creditos!$C$15&lt;&gt;"",Creditos!$M$15="OK",46&lt;=Creditos!$H$15),I591+K591,"")</f>
        <v/>
      </c>
      <c r="M591" s="48" t="str">
        <f>IF(AND(Creditos!$C$15&lt;&gt;"",Creditos!$M$15="OK",46&lt;=Creditos!$H$15),MAX(0,F591-J591),"")</f>
        <v/>
      </c>
      <c r="N591" s="48" t="str">
        <f>IF(AND(Creditos!$C$15&lt;&gt;"",Creditos!$M$15="OK",46&lt;=Creditos!$H$15),SUMIFS(Pagos!$F$6:$F$305,Pagos!$C$6:$C$305,C591,Pagos!$D$6:$D$305,D591,Pagos!$E$6:$E$305,"&lt;="&amp;Supuestos!$D$6,Pagos!$H$6:$H$305,"OK"),"")</f>
        <v/>
      </c>
      <c r="O591" s="48" t="str">
        <f>IF(AND(Creditos!$C$15&lt;&gt;"",Creditos!$M$15="OK",46&lt;=Creditos!$H$15),MIN(J591,MAX(0,N591-K591-H591)),"")</f>
        <v/>
      </c>
      <c r="P591" s="48" t="str">
        <f>IF(AND(Creditos!$C$15&lt;&gt;"",Creditos!$M$15="OK",46&lt;=Creditos!$H$15),MAX(0,L591-N591),"")</f>
        <v/>
      </c>
      <c r="Q591" s="50" t="str">
        <f>IF(AND(Creditos!$C$15&lt;&gt;"",Creditos!$M$15="OK",46&lt;=Creditos!$H$15),IF(AND(E591&lt;Supuestos!$D$6,P591&gt;0.005),Supuestos!$D$6-E591,0),"")</f>
        <v/>
      </c>
      <c r="R591" s="48" t="str">
        <f>IF(AND(Creditos!$C$15&lt;&gt;"",Creditos!$M$15="OK",46&lt;=Creditos!$H$15),MAX(0,N591-L591),"")</f>
        <v/>
      </c>
      <c r="S591" s="46" t="str">
        <f>IF(AND(Creditos!$C$15&lt;&gt;"",Creditos!$M$15="OK",46&lt;=Creditos!$H$15),IF(R591&gt;0.005,"Exceso sin imputar",IF(P591&lt;=0.005,"Pagada",IF(E591&lt;Supuestos!$D$6,"Vencida",IF(E591=Supuestos!$D$6,"Vence hoy","Por vencer")))),"")</f>
        <v/>
      </c>
      <c r="T591" s="46">
        <f>IF(AND(Creditos!$C$15&lt;&gt;"",Creditos!$M$15="OK",46&lt;=Creditos!$H$15),IF(P591&gt;0.005,E591,999999),999999)</f>
        <v>999999</v>
      </c>
    </row>
    <row r="592" ht="25.5" customHeight="1">
      <c r="C592" s="46" t="str">
        <f>IF(AND(Creditos!$C$15&lt;&gt;"",Creditos!$M$15="OK",47&lt;=Creditos!$H$15),Creditos!$C$15,"")</f>
        <v/>
      </c>
      <c r="D592" s="46" t="str">
        <f>IF(AND(Creditos!$C$15&lt;&gt;"",Creditos!$M$15="OK",47&lt;=Creditos!$H$15),47,"")</f>
        <v/>
      </c>
      <c r="E592" s="47" t="str">
        <f>IF(AND(Creditos!$C$15&lt;&gt;"",Creditos!$M$15="OK",47&lt;=Creditos!$H$15),EDATE(Creditos!$I$15,46),"")</f>
        <v/>
      </c>
      <c r="F592" s="48" t="str">
        <f>IF(AND(Creditos!$C$15&lt;&gt;"",Creditos!$M$15="OK",47&lt;=Creditos!$H$15),M591,"")</f>
        <v/>
      </c>
      <c r="G592" s="49" t="str">
        <f>IF(AND(Creditos!$C$15&lt;&gt;"",Creditos!$M$15="OK",47&lt;=Creditos!$H$15),Creditos!$N$15,"")</f>
        <v/>
      </c>
      <c r="H592" s="48" t="str">
        <f>IF(AND(Creditos!$C$15&lt;&gt;"",Creditos!$M$15="OK",47&lt;=Creditos!$H$15),ROUND(F592*G592,2),"")</f>
        <v/>
      </c>
      <c r="I592" s="48" t="str">
        <f>IF(AND(Creditos!$C$15&lt;&gt;"",Creditos!$M$15="OK",47&lt;=Creditos!$H$15),IF(47=Creditos!$H$15,F592+H592,MIN(Creditos!$O$15,F592+H592)),"")</f>
        <v/>
      </c>
      <c r="J592" s="48" t="str">
        <f>IF(AND(Creditos!$C$15&lt;&gt;"",Creditos!$M$15="OK",47&lt;=Creditos!$H$15),MIN(F592,MAX(0,I592-H592)),"")</f>
        <v/>
      </c>
      <c r="K592" s="48" t="str">
        <f>IF(AND(Creditos!$C$15&lt;&gt;"",Creditos!$M$15="OK",47&lt;=Creditos!$H$15),Creditos!$J$15+Creditos!$K$15,"")</f>
        <v/>
      </c>
      <c r="L592" s="48" t="str">
        <f>IF(AND(Creditos!$C$15&lt;&gt;"",Creditos!$M$15="OK",47&lt;=Creditos!$H$15),I592+K592,"")</f>
        <v/>
      </c>
      <c r="M592" s="48" t="str">
        <f>IF(AND(Creditos!$C$15&lt;&gt;"",Creditos!$M$15="OK",47&lt;=Creditos!$H$15),MAX(0,F592-J592),"")</f>
        <v/>
      </c>
      <c r="N592" s="48" t="str">
        <f>IF(AND(Creditos!$C$15&lt;&gt;"",Creditos!$M$15="OK",47&lt;=Creditos!$H$15),SUMIFS(Pagos!$F$6:$F$305,Pagos!$C$6:$C$305,C592,Pagos!$D$6:$D$305,D592,Pagos!$E$6:$E$305,"&lt;="&amp;Supuestos!$D$6,Pagos!$H$6:$H$305,"OK"),"")</f>
        <v/>
      </c>
      <c r="O592" s="48" t="str">
        <f>IF(AND(Creditos!$C$15&lt;&gt;"",Creditos!$M$15="OK",47&lt;=Creditos!$H$15),MIN(J592,MAX(0,N592-K592-H592)),"")</f>
        <v/>
      </c>
      <c r="P592" s="48" t="str">
        <f>IF(AND(Creditos!$C$15&lt;&gt;"",Creditos!$M$15="OK",47&lt;=Creditos!$H$15),MAX(0,L592-N592),"")</f>
        <v/>
      </c>
      <c r="Q592" s="50" t="str">
        <f>IF(AND(Creditos!$C$15&lt;&gt;"",Creditos!$M$15="OK",47&lt;=Creditos!$H$15),IF(AND(E592&lt;Supuestos!$D$6,P592&gt;0.005),Supuestos!$D$6-E592,0),"")</f>
        <v/>
      </c>
      <c r="R592" s="48" t="str">
        <f>IF(AND(Creditos!$C$15&lt;&gt;"",Creditos!$M$15="OK",47&lt;=Creditos!$H$15),MAX(0,N592-L592),"")</f>
        <v/>
      </c>
      <c r="S592" s="46" t="str">
        <f>IF(AND(Creditos!$C$15&lt;&gt;"",Creditos!$M$15="OK",47&lt;=Creditos!$H$15),IF(R592&gt;0.005,"Exceso sin imputar",IF(P592&lt;=0.005,"Pagada",IF(E592&lt;Supuestos!$D$6,"Vencida",IF(E592=Supuestos!$D$6,"Vence hoy","Por vencer")))),"")</f>
        <v/>
      </c>
      <c r="T592" s="46">
        <f>IF(AND(Creditos!$C$15&lt;&gt;"",Creditos!$M$15="OK",47&lt;=Creditos!$H$15),IF(P592&gt;0.005,E592,999999),999999)</f>
        <v>999999</v>
      </c>
    </row>
    <row r="593" ht="25.5" customHeight="1">
      <c r="C593" s="46" t="str">
        <f>IF(AND(Creditos!$C$15&lt;&gt;"",Creditos!$M$15="OK",48&lt;=Creditos!$H$15),Creditos!$C$15,"")</f>
        <v/>
      </c>
      <c r="D593" s="46" t="str">
        <f>IF(AND(Creditos!$C$15&lt;&gt;"",Creditos!$M$15="OK",48&lt;=Creditos!$H$15),48,"")</f>
        <v/>
      </c>
      <c r="E593" s="47" t="str">
        <f>IF(AND(Creditos!$C$15&lt;&gt;"",Creditos!$M$15="OK",48&lt;=Creditos!$H$15),EDATE(Creditos!$I$15,47),"")</f>
        <v/>
      </c>
      <c r="F593" s="48" t="str">
        <f>IF(AND(Creditos!$C$15&lt;&gt;"",Creditos!$M$15="OK",48&lt;=Creditos!$H$15),M592,"")</f>
        <v/>
      </c>
      <c r="G593" s="49" t="str">
        <f>IF(AND(Creditos!$C$15&lt;&gt;"",Creditos!$M$15="OK",48&lt;=Creditos!$H$15),Creditos!$N$15,"")</f>
        <v/>
      </c>
      <c r="H593" s="48" t="str">
        <f>IF(AND(Creditos!$C$15&lt;&gt;"",Creditos!$M$15="OK",48&lt;=Creditos!$H$15),ROUND(F593*G593,2),"")</f>
        <v/>
      </c>
      <c r="I593" s="48" t="str">
        <f>IF(AND(Creditos!$C$15&lt;&gt;"",Creditos!$M$15="OK",48&lt;=Creditos!$H$15),IF(48=Creditos!$H$15,F593+H593,MIN(Creditos!$O$15,F593+H593)),"")</f>
        <v/>
      </c>
      <c r="J593" s="48" t="str">
        <f>IF(AND(Creditos!$C$15&lt;&gt;"",Creditos!$M$15="OK",48&lt;=Creditos!$H$15),MIN(F593,MAX(0,I593-H593)),"")</f>
        <v/>
      </c>
      <c r="K593" s="48" t="str">
        <f>IF(AND(Creditos!$C$15&lt;&gt;"",Creditos!$M$15="OK",48&lt;=Creditos!$H$15),Creditos!$J$15+Creditos!$K$15,"")</f>
        <v/>
      </c>
      <c r="L593" s="48" t="str">
        <f>IF(AND(Creditos!$C$15&lt;&gt;"",Creditos!$M$15="OK",48&lt;=Creditos!$H$15),I593+K593,"")</f>
        <v/>
      </c>
      <c r="M593" s="48" t="str">
        <f>IF(AND(Creditos!$C$15&lt;&gt;"",Creditos!$M$15="OK",48&lt;=Creditos!$H$15),MAX(0,F593-J593),"")</f>
        <v/>
      </c>
      <c r="N593" s="48" t="str">
        <f>IF(AND(Creditos!$C$15&lt;&gt;"",Creditos!$M$15="OK",48&lt;=Creditos!$H$15),SUMIFS(Pagos!$F$6:$F$305,Pagos!$C$6:$C$305,C593,Pagos!$D$6:$D$305,D593,Pagos!$E$6:$E$305,"&lt;="&amp;Supuestos!$D$6,Pagos!$H$6:$H$305,"OK"),"")</f>
        <v/>
      </c>
      <c r="O593" s="48" t="str">
        <f>IF(AND(Creditos!$C$15&lt;&gt;"",Creditos!$M$15="OK",48&lt;=Creditos!$H$15),MIN(J593,MAX(0,N593-K593-H593)),"")</f>
        <v/>
      </c>
      <c r="P593" s="48" t="str">
        <f>IF(AND(Creditos!$C$15&lt;&gt;"",Creditos!$M$15="OK",48&lt;=Creditos!$H$15),MAX(0,L593-N593),"")</f>
        <v/>
      </c>
      <c r="Q593" s="50" t="str">
        <f>IF(AND(Creditos!$C$15&lt;&gt;"",Creditos!$M$15="OK",48&lt;=Creditos!$H$15),IF(AND(E593&lt;Supuestos!$D$6,P593&gt;0.005),Supuestos!$D$6-E593,0),"")</f>
        <v/>
      </c>
      <c r="R593" s="48" t="str">
        <f>IF(AND(Creditos!$C$15&lt;&gt;"",Creditos!$M$15="OK",48&lt;=Creditos!$H$15),MAX(0,N593-L593),"")</f>
        <v/>
      </c>
      <c r="S593" s="46" t="str">
        <f>IF(AND(Creditos!$C$15&lt;&gt;"",Creditos!$M$15="OK",48&lt;=Creditos!$H$15),IF(R593&gt;0.005,"Exceso sin imputar",IF(P593&lt;=0.005,"Pagada",IF(E593&lt;Supuestos!$D$6,"Vencida",IF(E593=Supuestos!$D$6,"Vence hoy","Por vencer")))),"")</f>
        <v/>
      </c>
      <c r="T593" s="46">
        <f>IF(AND(Creditos!$C$15&lt;&gt;"",Creditos!$M$15="OK",48&lt;=Creditos!$H$15),IF(P593&gt;0.005,E593,999999),999999)</f>
        <v>999999</v>
      </c>
    </row>
    <row r="594" ht="25.5" customHeight="1">
      <c r="C594" s="46" t="str">
        <f>IF(AND(Creditos!$C$15&lt;&gt;"",Creditos!$M$15="OK",49&lt;=Creditos!$H$15),Creditos!$C$15,"")</f>
        <v/>
      </c>
      <c r="D594" s="46" t="str">
        <f>IF(AND(Creditos!$C$15&lt;&gt;"",Creditos!$M$15="OK",49&lt;=Creditos!$H$15),49,"")</f>
        <v/>
      </c>
      <c r="E594" s="47" t="str">
        <f>IF(AND(Creditos!$C$15&lt;&gt;"",Creditos!$M$15="OK",49&lt;=Creditos!$H$15),EDATE(Creditos!$I$15,48),"")</f>
        <v/>
      </c>
      <c r="F594" s="48" t="str">
        <f>IF(AND(Creditos!$C$15&lt;&gt;"",Creditos!$M$15="OK",49&lt;=Creditos!$H$15),M593,"")</f>
        <v/>
      </c>
      <c r="G594" s="49" t="str">
        <f>IF(AND(Creditos!$C$15&lt;&gt;"",Creditos!$M$15="OK",49&lt;=Creditos!$H$15),Creditos!$N$15,"")</f>
        <v/>
      </c>
      <c r="H594" s="48" t="str">
        <f>IF(AND(Creditos!$C$15&lt;&gt;"",Creditos!$M$15="OK",49&lt;=Creditos!$H$15),ROUND(F594*G594,2),"")</f>
        <v/>
      </c>
      <c r="I594" s="48" t="str">
        <f>IF(AND(Creditos!$C$15&lt;&gt;"",Creditos!$M$15="OK",49&lt;=Creditos!$H$15),IF(49=Creditos!$H$15,F594+H594,MIN(Creditos!$O$15,F594+H594)),"")</f>
        <v/>
      </c>
      <c r="J594" s="48" t="str">
        <f>IF(AND(Creditos!$C$15&lt;&gt;"",Creditos!$M$15="OK",49&lt;=Creditos!$H$15),MIN(F594,MAX(0,I594-H594)),"")</f>
        <v/>
      </c>
      <c r="K594" s="48" t="str">
        <f>IF(AND(Creditos!$C$15&lt;&gt;"",Creditos!$M$15="OK",49&lt;=Creditos!$H$15),Creditos!$J$15+Creditos!$K$15,"")</f>
        <v/>
      </c>
      <c r="L594" s="48" t="str">
        <f>IF(AND(Creditos!$C$15&lt;&gt;"",Creditos!$M$15="OK",49&lt;=Creditos!$H$15),I594+K594,"")</f>
        <v/>
      </c>
      <c r="M594" s="48" t="str">
        <f>IF(AND(Creditos!$C$15&lt;&gt;"",Creditos!$M$15="OK",49&lt;=Creditos!$H$15),MAX(0,F594-J594),"")</f>
        <v/>
      </c>
      <c r="N594" s="48" t="str">
        <f>IF(AND(Creditos!$C$15&lt;&gt;"",Creditos!$M$15="OK",49&lt;=Creditos!$H$15),SUMIFS(Pagos!$F$6:$F$305,Pagos!$C$6:$C$305,C594,Pagos!$D$6:$D$305,D594,Pagos!$E$6:$E$305,"&lt;="&amp;Supuestos!$D$6,Pagos!$H$6:$H$305,"OK"),"")</f>
        <v/>
      </c>
      <c r="O594" s="48" t="str">
        <f>IF(AND(Creditos!$C$15&lt;&gt;"",Creditos!$M$15="OK",49&lt;=Creditos!$H$15),MIN(J594,MAX(0,N594-K594-H594)),"")</f>
        <v/>
      </c>
      <c r="P594" s="48" t="str">
        <f>IF(AND(Creditos!$C$15&lt;&gt;"",Creditos!$M$15="OK",49&lt;=Creditos!$H$15),MAX(0,L594-N594),"")</f>
        <v/>
      </c>
      <c r="Q594" s="50" t="str">
        <f>IF(AND(Creditos!$C$15&lt;&gt;"",Creditos!$M$15="OK",49&lt;=Creditos!$H$15),IF(AND(E594&lt;Supuestos!$D$6,P594&gt;0.005),Supuestos!$D$6-E594,0),"")</f>
        <v/>
      </c>
      <c r="R594" s="48" t="str">
        <f>IF(AND(Creditos!$C$15&lt;&gt;"",Creditos!$M$15="OK",49&lt;=Creditos!$H$15),MAX(0,N594-L594),"")</f>
        <v/>
      </c>
      <c r="S594" s="46" t="str">
        <f>IF(AND(Creditos!$C$15&lt;&gt;"",Creditos!$M$15="OK",49&lt;=Creditos!$H$15),IF(R594&gt;0.005,"Exceso sin imputar",IF(P594&lt;=0.005,"Pagada",IF(E594&lt;Supuestos!$D$6,"Vencida",IF(E594=Supuestos!$D$6,"Vence hoy","Por vencer")))),"")</f>
        <v/>
      </c>
      <c r="T594" s="46">
        <f>IF(AND(Creditos!$C$15&lt;&gt;"",Creditos!$M$15="OK",49&lt;=Creditos!$H$15),IF(P594&gt;0.005,E594,999999),999999)</f>
        <v>999999</v>
      </c>
    </row>
    <row r="595" ht="25.5" customHeight="1">
      <c r="C595" s="46" t="str">
        <f>IF(AND(Creditos!$C$15&lt;&gt;"",Creditos!$M$15="OK",50&lt;=Creditos!$H$15),Creditos!$C$15,"")</f>
        <v/>
      </c>
      <c r="D595" s="46" t="str">
        <f>IF(AND(Creditos!$C$15&lt;&gt;"",Creditos!$M$15="OK",50&lt;=Creditos!$H$15),50,"")</f>
        <v/>
      </c>
      <c r="E595" s="47" t="str">
        <f>IF(AND(Creditos!$C$15&lt;&gt;"",Creditos!$M$15="OK",50&lt;=Creditos!$H$15),EDATE(Creditos!$I$15,49),"")</f>
        <v/>
      </c>
      <c r="F595" s="48" t="str">
        <f>IF(AND(Creditos!$C$15&lt;&gt;"",Creditos!$M$15="OK",50&lt;=Creditos!$H$15),M594,"")</f>
        <v/>
      </c>
      <c r="G595" s="49" t="str">
        <f>IF(AND(Creditos!$C$15&lt;&gt;"",Creditos!$M$15="OK",50&lt;=Creditos!$H$15),Creditos!$N$15,"")</f>
        <v/>
      </c>
      <c r="H595" s="48" t="str">
        <f>IF(AND(Creditos!$C$15&lt;&gt;"",Creditos!$M$15="OK",50&lt;=Creditos!$H$15),ROUND(F595*G595,2),"")</f>
        <v/>
      </c>
      <c r="I595" s="48" t="str">
        <f>IF(AND(Creditos!$C$15&lt;&gt;"",Creditos!$M$15="OK",50&lt;=Creditos!$H$15),IF(50=Creditos!$H$15,F595+H595,MIN(Creditos!$O$15,F595+H595)),"")</f>
        <v/>
      </c>
      <c r="J595" s="48" t="str">
        <f>IF(AND(Creditos!$C$15&lt;&gt;"",Creditos!$M$15="OK",50&lt;=Creditos!$H$15),MIN(F595,MAX(0,I595-H595)),"")</f>
        <v/>
      </c>
      <c r="K595" s="48" t="str">
        <f>IF(AND(Creditos!$C$15&lt;&gt;"",Creditos!$M$15="OK",50&lt;=Creditos!$H$15),Creditos!$J$15+Creditos!$K$15,"")</f>
        <v/>
      </c>
      <c r="L595" s="48" t="str">
        <f>IF(AND(Creditos!$C$15&lt;&gt;"",Creditos!$M$15="OK",50&lt;=Creditos!$H$15),I595+K595,"")</f>
        <v/>
      </c>
      <c r="M595" s="48" t="str">
        <f>IF(AND(Creditos!$C$15&lt;&gt;"",Creditos!$M$15="OK",50&lt;=Creditos!$H$15),MAX(0,F595-J595),"")</f>
        <v/>
      </c>
      <c r="N595" s="48" t="str">
        <f>IF(AND(Creditos!$C$15&lt;&gt;"",Creditos!$M$15="OK",50&lt;=Creditos!$H$15),SUMIFS(Pagos!$F$6:$F$305,Pagos!$C$6:$C$305,C595,Pagos!$D$6:$D$305,D595,Pagos!$E$6:$E$305,"&lt;="&amp;Supuestos!$D$6,Pagos!$H$6:$H$305,"OK"),"")</f>
        <v/>
      </c>
      <c r="O595" s="48" t="str">
        <f>IF(AND(Creditos!$C$15&lt;&gt;"",Creditos!$M$15="OK",50&lt;=Creditos!$H$15),MIN(J595,MAX(0,N595-K595-H595)),"")</f>
        <v/>
      </c>
      <c r="P595" s="48" t="str">
        <f>IF(AND(Creditos!$C$15&lt;&gt;"",Creditos!$M$15="OK",50&lt;=Creditos!$H$15),MAX(0,L595-N595),"")</f>
        <v/>
      </c>
      <c r="Q595" s="50" t="str">
        <f>IF(AND(Creditos!$C$15&lt;&gt;"",Creditos!$M$15="OK",50&lt;=Creditos!$H$15),IF(AND(E595&lt;Supuestos!$D$6,P595&gt;0.005),Supuestos!$D$6-E595,0),"")</f>
        <v/>
      </c>
      <c r="R595" s="48" t="str">
        <f>IF(AND(Creditos!$C$15&lt;&gt;"",Creditos!$M$15="OK",50&lt;=Creditos!$H$15),MAX(0,N595-L595),"")</f>
        <v/>
      </c>
      <c r="S595" s="46" t="str">
        <f>IF(AND(Creditos!$C$15&lt;&gt;"",Creditos!$M$15="OK",50&lt;=Creditos!$H$15),IF(R595&gt;0.005,"Exceso sin imputar",IF(P595&lt;=0.005,"Pagada",IF(E595&lt;Supuestos!$D$6,"Vencida",IF(E595=Supuestos!$D$6,"Vence hoy","Por vencer")))),"")</f>
        <v/>
      </c>
      <c r="T595" s="46">
        <f>IF(AND(Creditos!$C$15&lt;&gt;"",Creditos!$M$15="OK",50&lt;=Creditos!$H$15),IF(P595&gt;0.005,E595,999999),999999)</f>
        <v>999999</v>
      </c>
    </row>
    <row r="596" ht="25.5" customHeight="1">
      <c r="C596" s="46" t="str">
        <f>IF(AND(Creditos!$C$15&lt;&gt;"",Creditos!$M$15="OK",51&lt;=Creditos!$H$15),Creditos!$C$15,"")</f>
        <v/>
      </c>
      <c r="D596" s="46" t="str">
        <f>IF(AND(Creditos!$C$15&lt;&gt;"",Creditos!$M$15="OK",51&lt;=Creditos!$H$15),51,"")</f>
        <v/>
      </c>
      <c r="E596" s="47" t="str">
        <f>IF(AND(Creditos!$C$15&lt;&gt;"",Creditos!$M$15="OK",51&lt;=Creditos!$H$15),EDATE(Creditos!$I$15,50),"")</f>
        <v/>
      </c>
      <c r="F596" s="48" t="str">
        <f>IF(AND(Creditos!$C$15&lt;&gt;"",Creditos!$M$15="OK",51&lt;=Creditos!$H$15),M595,"")</f>
        <v/>
      </c>
      <c r="G596" s="49" t="str">
        <f>IF(AND(Creditos!$C$15&lt;&gt;"",Creditos!$M$15="OK",51&lt;=Creditos!$H$15),Creditos!$N$15,"")</f>
        <v/>
      </c>
      <c r="H596" s="48" t="str">
        <f>IF(AND(Creditos!$C$15&lt;&gt;"",Creditos!$M$15="OK",51&lt;=Creditos!$H$15),ROUND(F596*G596,2),"")</f>
        <v/>
      </c>
      <c r="I596" s="48" t="str">
        <f>IF(AND(Creditos!$C$15&lt;&gt;"",Creditos!$M$15="OK",51&lt;=Creditos!$H$15),IF(51=Creditos!$H$15,F596+H596,MIN(Creditos!$O$15,F596+H596)),"")</f>
        <v/>
      </c>
      <c r="J596" s="48" t="str">
        <f>IF(AND(Creditos!$C$15&lt;&gt;"",Creditos!$M$15="OK",51&lt;=Creditos!$H$15),MIN(F596,MAX(0,I596-H596)),"")</f>
        <v/>
      </c>
      <c r="K596" s="48" t="str">
        <f>IF(AND(Creditos!$C$15&lt;&gt;"",Creditos!$M$15="OK",51&lt;=Creditos!$H$15),Creditos!$J$15+Creditos!$K$15,"")</f>
        <v/>
      </c>
      <c r="L596" s="48" t="str">
        <f>IF(AND(Creditos!$C$15&lt;&gt;"",Creditos!$M$15="OK",51&lt;=Creditos!$H$15),I596+K596,"")</f>
        <v/>
      </c>
      <c r="M596" s="48" t="str">
        <f>IF(AND(Creditos!$C$15&lt;&gt;"",Creditos!$M$15="OK",51&lt;=Creditos!$H$15),MAX(0,F596-J596),"")</f>
        <v/>
      </c>
      <c r="N596" s="48" t="str">
        <f>IF(AND(Creditos!$C$15&lt;&gt;"",Creditos!$M$15="OK",51&lt;=Creditos!$H$15),SUMIFS(Pagos!$F$6:$F$305,Pagos!$C$6:$C$305,C596,Pagos!$D$6:$D$305,D596,Pagos!$E$6:$E$305,"&lt;="&amp;Supuestos!$D$6,Pagos!$H$6:$H$305,"OK"),"")</f>
        <v/>
      </c>
      <c r="O596" s="48" t="str">
        <f>IF(AND(Creditos!$C$15&lt;&gt;"",Creditos!$M$15="OK",51&lt;=Creditos!$H$15),MIN(J596,MAX(0,N596-K596-H596)),"")</f>
        <v/>
      </c>
      <c r="P596" s="48" t="str">
        <f>IF(AND(Creditos!$C$15&lt;&gt;"",Creditos!$M$15="OK",51&lt;=Creditos!$H$15),MAX(0,L596-N596),"")</f>
        <v/>
      </c>
      <c r="Q596" s="50" t="str">
        <f>IF(AND(Creditos!$C$15&lt;&gt;"",Creditos!$M$15="OK",51&lt;=Creditos!$H$15),IF(AND(E596&lt;Supuestos!$D$6,P596&gt;0.005),Supuestos!$D$6-E596,0),"")</f>
        <v/>
      </c>
      <c r="R596" s="48" t="str">
        <f>IF(AND(Creditos!$C$15&lt;&gt;"",Creditos!$M$15="OK",51&lt;=Creditos!$H$15),MAX(0,N596-L596),"")</f>
        <v/>
      </c>
      <c r="S596" s="46" t="str">
        <f>IF(AND(Creditos!$C$15&lt;&gt;"",Creditos!$M$15="OK",51&lt;=Creditos!$H$15),IF(R596&gt;0.005,"Exceso sin imputar",IF(P596&lt;=0.005,"Pagada",IF(E596&lt;Supuestos!$D$6,"Vencida",IF(E596=Supuestos!$D$6,"Vence hoy","Por vencer")))),"")</f>
        <v/>
      </c>
      <c r="T596" s="46">
        <f>IF(AND(Creditos!$C$15&lt;&gt;"",Creditos!$M$15="OK",51&lt;=Creditos!$H$15),IF(P596&gt;0.005,E596,999999),999999)</f>
        <v>999999</v>
      </c>
    </row>
    <row r="597" ht="25.5" customHeight="1">
      <c r="C597" s="46" t="str">
        <f>IF(AND(Creditos!$C$15&lt;&gt;"",Creditos!$M$15="OK",52&lt;=Creditos!$H$15),Creditos!$C$15,"")</f>
        <v/>
      </c>
      <c r="D597" s="46" t="str">
        <f>IF(AND(Creditos!$C$15&lt;&gt;"",Creditos!$M$15="OK",52&lt;=Creditos!$H$15),52,"")</f>
        <v/>
      </c>
      <c r="E597" s="47" t="str">
        <f>IF(AND(Creditos!$C$15&lt;&gt;"",Creditos!$M$15="OK",52&lt;=Creditos!$H$15),EDATE(Creditos!$I$15,51),"")</f>
        <v/>
      </c>
      <c r="F597" s="48" t="str">
        <f>IF(AND(Creditos!$C$15&lt;&gt;"",Creditos!$M$15="OK",52&lt;=Creditos!$H$15),M596,"")</f>
        <v/>
      </c>
      <c r="G597" s="49" t="str">
        <f>IF(AND(Creditos!$C$15&lt;&gt;"",Creditos!$M$15="OK",52&lt;=Creditos!$H$15),Creditos!$N$15,"")</f>
        <v/>
      </c>
      <c r="H597" s="48" t="str">
        <f>IF(AND(Creditos!$C$15&lt;&gt;"",Creditos!$M$15="OK",52&lt;=Creditos!$H$15),ROUND(F597*G597,2),"")</f>
        <v/>
      </c>
      <c r="I597" s="48" t="str">
        <f>IF(AND(Creditos!$C$15&lt;&gt;"",Creditos!$M$15="OK",52&lt;=Creditos!$H$15),IF(52=Creditos!$H$15,F597+H597,MIN(Creditos!$O$15,F597+H597)),"")</f>
        <v/>
      </c>
      <c r="J597" s="48" t="str">
        <f>IF(AND(Creditos!$C$15&lt;&gt;"",Creditos!$M$15="OK",52&lt;=Creditos!$H$15),MIN(F597,MAX(0,I597-H597)),"")</f>
        <v/>
      </c>
      <c r="K597" s="48" t="str">
        <f>IF(AND(Creditos!$C$15&lt;&gt;"",Creditos!$M$15="OK",52&lt;=Creditos!$H$15),Creditos!$J$15+Creditos!$K$15,"")</f>
        <v/>
      </c>
      <c r="L597" s="48" t="str">
        <f>IF(AND(Creditos!$C$15&lt;&gt;"",Creditos!$M$15="OK",52&lt;=Creditos!$H$15),I597+K597,"")</f>
        <v/>
      </c>
      <c r="M597" s="48" t="str">
        <f>IF(AND(Creditos!$C$15&lt;&gt;"",Creditos!$M$15="OK",52&lt;=Creditos!$H$15),MAX(0,F597-J597),"")</f>
        <v/>
      </c>
      <c r="N597" s="48" t="str">
        <f>IF(AND(Creditos!$C$15&lt;&gt;"",Creditos!$M$15="OK",52&lt;=Creditos!$H$15),SUMIFS(Pagos!$F$6:$F$305,Pagos!$C$6:$C$305,C597,Pagos!$D$6:$D$305,D597,Pagos!$E$6:$E$305,"&lt;="&amp;Supuestos!$D$6,Pagos!$H$6:$H$305,"OK"),"")</f>
        <v/>
      </c>
      <c r="O597" s="48" t="str">
        <f>IF(AND(Creditos!$C$15&lt;&gt;"",Creditos!$M$15="OK",52&lt;=Creditos!$H$15),MIN(J597,MAX(0,N597-K597-H597)),"")</f>
        <v/>
      </c>
      <c r="P597" s="48" t="str">
        <f>IF(AND(Creditos!$C$15&lt;&gt;"",Creditos!$M$15="OK",52&lt;=Creditos!$H$15),MAX(0,L597-N597),"")</f>
        <v/>
      </c>
      <c r="Q597" s="50" t="str">
        <f>IF(AND(Creditos!$C$15&lt;&gt;"",Creditos!$M$15="OK",52&lt;=Creditos!$H$15),IF(AND(E597&lt;Supuestos!$D$6,P597&gt;0.005),Supuestos!$D$6-E597,0),"")</f>
        <v/>
      </c>
      <c r="R597" s="48" t="str">
        <f>IF(AND(Creditos!$C$15&lt;&gt;"",Creditos!$M$15="OK",52&lt;=Creditos!$H$15),MAX(0,N597-L597),"")</f>
        <v/>
      </c>
      <c r="S597" s="46" t="str">
        <f>IF(AND(Creditos!$C$15&lt;&gt;"",Creditos!$M$15="OK",52&lt;=Creditos!$H$15),IF(R597&gt;0.005,"Exceso sin imputar",IF(P597&lt;=0.005,"Pagada",IF(E597&lt;Supuestos!$D$6,"Vencida",IF(E597=Supuestos!$D$6,"Vence hoy","Por vencer")))),"")</f>
        <v/>
      </c>
      <c r="T597" s="46">
        <f>IF(AND(Creditos!$C$15&lt;&gt;"",Creditos!$M$15="OK",52&lt;=Creditos!$H$15),IF(P597&gt;0.005,E597,999999),999999)</f>
        <v>999999</v>
      </c>
    </row>
    <row r="598" ht="25.5" customHeight="1">
      <c r="C598" s="46" t="str">
        <f>IF(AND(Creditos!$C$15&lt;&gt;"",Creditos!$M$15="OK",53&lt;=Creditos!$H$15),Creditos!$C$15,"")</f>
        <v/>
      </c>
      <c r="D598" s="46" t="str">
        <f>IF(AND(Creditos!$C$15&lt;&gt;"",Creditos!$M$15="OK",53&lt;=Creditos!$H$15),53,"")</f>
        <v/>
      </c>
      <c r="E598" s="47" t="str">
        <f>IF(AND(Creditos!$C$15&lt;&gt;"",Creditos!$M$15="OK",53&lt;=Creditos!$H$15),EDATE(Creditos!$I$15,52),"")</f>
        <v/>
      </c>
      <c r="F598" s="48" t="str">
        <f>IF(AND(Creditos!$C$15&lt;&gt;"",Creditos!$M$15="OK",53&lt;=Creditos!$H$15),M597,"")</f>
        <v/>
      </c>
      <c r="G598" s="49" t="str">
        <f>IF(AND(Creditos!$C$15&lt;&gt;"",Creditos!$M$15="OK",53&lt;=Creditos!$H$15),Creditos!$N$15,"")</f>
        <v/>
      </c>
      <c r="H598" s="48" t="str">
        <f>IF(AND(Creditos!$C$15&lt;&gt;"",Creditos!$M$15="OK",53&lt;=Creditos!$H$15),ROUND(F598*G598,2),"")</f>
        <v/>
      </c>
      <c r="I598" s="48" t="str">
        <f>IF(AND(Creditos!$C$15&lt;&gt;"",Creditos!$M$15="OK",53&lt;=Creditos!$H$15),IF(53=Creditos!$H$15,F598+H598,MIN(Creditos!$O$15,F598+H598)),"")</f>
        <v/>
      </c>
      <c r="J598" s="48" t="str">
        <f>IF(AND(Creditos!$C$15&lt;&gt;"",Creditos!$M$15="OK",53&lt;=Creditos!$H$15),MIN(F598,MAX(0,I598-H598)),"")</f>
        <v/>
      </c>
      <c r="K598" s="48" t="str">
        <f>IF(AND(Creditos!$C$15&lt;&gt;"",Creditos!$M$15="OK",53&lt;=Creditos!$H$15),Creditos!$J$15+Creditos!$K$15,"")</f>
        <v/>
      </c>
      <c r="L598" s="48" t="str">
        <f>IF(AND(Creditos!$C$15&lt;&gt;"",Creditos!$M$15="OK",53&lt;=Creditos!$H$15),I598+K598,"")</f>
        <v/>
      </c>
      <c r="M598" s="48" t="str">
        <f>IF(AND(Creditos!$C$15&lt;&gt;"",Creditos!$M$15="OK",53&lt;=Creditos!$H$15),MAX(0,F598-J598),"")</f>
        <v/>
      </c>
      <c r="N598" s="48" t="str">
        <f>IF(AND(Creditos!$C$15&lt;&gt;"",Creditos!$M$15="OK",53&lt;=Creditos!$H$15),SUMIFS(Pagos!$F$6:$F$305,Pagos!$C$6:$C$305,C598,Pagos!$D$6:$D$305,D598,Pagos!$E$6:$E$305,"&lt;="&amp;Supuestos!$D$6,Pagos!$H$6:$H$305,"OK"),"")</f>
        <v/>
      </c>
      <c r="O598" s="48" t="str">
        <f>IF(AND(Creditos!$C$15&lt;&gt;"",Creditos!$M$15="OK",53&lt;=Creditos!$H$15),MIN(J598,MAX(0,N598-K598-H598)),"")</f>
        <v/>
      </c>
      <c r="P598" s="48" t="str">
        <f>IF(AND(Creditos!$C$15&lt;&gt;"",Creditos!$M$15="OK",53&lt;=Creditos!$H$15),MAX(0,L598-N598),"")</f>
        <v/>
      </c>
      <c r="Q598" s="50" t="str">
        <f>IF(AND(Creditos!$C$15&lt;&gt;"",Creditos!$M$15="OK",53&lt;=Creditos!$H$15),IF(AND(E598&lt;Supuestos!$D$6,P598&gt;0.005),Supuestos!$D$6-E598,0),"")</f>
        <v/>
      </c>
      <c r="R598" s="48" t="str">
        <f>IF(AND(Creditos!$C$15&lt;&gt;"",Creditos!$M$15="OK",53&lt;=Creditos!$H$15),MAX(0,N598-L598),"")</f>
        <v/>
      </c>
      <c r="S598" s="46" t="str">
        <f>IF(AND(Creditos!$C$15&lt;&gt;"",Creditos!$M$15="OK",53&lt;=Creditos!$H$15),IF(R598&gt;0.005,"Exceso sin imputar",IF(P598&lt;=0.005,"Pagada",IF(E598&lt;Supuestos!$D$6,"Vencida",IF(E598=Supuestos!$D$6,"Vence hoy","Por vencer")))),"")</f>
        <v/>
      </c>
      <c r="T598" s="46">
        <f>IF(AND(Creditos!$C$15&lt;&gt;"",Creditos!$M$15="OK",53&lt;=Creditos!$H$15),IF(P598&gt;0.005,E598,999999),999999)</f>
        <v>999999</v>
      </c>
    </row>
    <row r="599" ht="25.5" customHeight="1">
      <c r="C599" s="46" t="str">
        <f>IF(AND(Creditos!$C$15&lt;&gt;"",Creditos!$M$15="OK",54&lt;=Creditos!$H$15),Creditos!$C$15,"")</f>
        <v/>
      </c>
      <c r="D599" s="46" t="str">
        <f>IF(AND(Creditos!$C$15&lt;&gt;"",Creditos!$M$15="OK",54&lt;=Creditos!$H$15),54,"")</f>
        <v/>
      </c>
      <c r="E599" s="47" t="str">
        <f>IF(AND(Creditos!$C$15&lt;&gt;"",Creditos!$M$15="OK",54&lt;=Creditos!$H$15),EDATE(Creditos!$I$15,53),"")</f>
        <v/>
      </c>
      <c r="F599" s="48" t="str">
        <f>IF(AND(Creditos!$C$15&lt;&gt;"",Creditos!$M$15="OK",54&lt;=Creditos!$H$15),M598,"")</f>
        <v/>
      </c>
      <c r="G599" s="49" t="str">
        <f>IF(AND(Creditos!$C$15&lt;&gt;"",Creditos!$M$15="OK",54&lt;=Creditos!$H$15),Creditos!$N$15,"")</f>
        <v/>
      </c>
      <c r="H599" s="48" t="str">
        <f>IF(AND(Creditos!$C$15&lt;&gt;"",Creditos!$M$15="OK",54&lt;=Creditos!$H$15),ROUND(F599*G599,2),"")</f>
        <v/>
      </c>
      <c r="I599" s="48" t="str">
        <f>IF(AND(Creditos!$C$15&lt;&gt;"",Creditos!$M$15="OK",54&lt;=Creditos!$H$15),IF(54=Creditos!$H$15,F599+H599,MIN(Creditos!$O$15,F599+H599)),"")</f>
        <v/>
      </c>
      <c r="J599" s="48" t="str">
        <f>IF(AND(Creditos!$C$15&lt;&gt;"",Creditos!$M$15="OK",54&lt;=Creditos!$H$15),MIN(F599,MAX(0,I599-H599)),"")</f>
        <v/>
      </c>
      <c r="K599" s="48" t="str">
        <f>IF(AND(Creditos!$C$15&lt;&gt;"",Creditos!$M$15="OK",54&lt;=Creditos!$H$15),Creditos!$J$15+Creditos!$K$15,"")</f>
        <v/>
      </c>
      <c r="L599" s="48" t="str">
        <f>IF(AND(Creditos!$C$15&lt;&gt;"",Creditos!$M$15="OK",54&lt;=Creditos!$H$15),I599+K599,"")</f>
        <v/>
      </c>
      <c r="M599" s="48" t="str">
        <f>IF(AND(Creditos!$C$15&lt;&gt;"",Creditos!$M$15="OK",54&lt;=Creditos!$H$15),MAX(0,F599-J599),"")</f>
        <v/>
      </c>
      <c r="N599" s="48" t="str">
        <f>IF(AND(Creditos!$C$15&lt;&gt;"",Creditos!$M$15="OK",54&lt;=Creditos!$H$15),SUMIFS(Pagos!$F$6:$F$305,Pagos!$C$6:$C$305,C599,Pagos!$D$6:$D$305,D599,Pagos!$E$6:$E$305,"&lt;="&amp;Supuestos!$D$6,Pagos!$H$6:$H$305,"OK"),"")</f>
        <v/>
      </c>
      <c r="O599" s="48" t="str">
        <f>IF(AND(Creditos!$C$15&lt;&gt;"",Creditos!$M$15="OK",54&lt;=Creditos!$H$15),MIN(J599,MAX(0,N599-K599-H599)),"")</f>
        <v/>
      </c>
      <c r="P599" s="48" t="str">
        <f>IF(AND(Creditos!$C$15&lt;&gt;"",Creditos!$M$15="OK",54&lt;=Creditos!$H$15),MAX(0,L599-N599),"")</f>
        <v/>
      </c>
      <c r="Q599" s="50" t="str">
        <f>IF(AND(Creditos!$C$15&lt;&gt;"",Creditos!$M$15="OK",54&lt;=Creditos!$H$15),IF(AND(E599&lt;Supuestos!$D$6,P599&gt;0.005),Supuestos!$D$6-E599,0),"")</f>
        <v/>
      </c>
      <c r="R599" s="48" t="str">
        <f>IF(AND(Creditos!$C$15&lt;&gt;"",Creditos!$M$15="OK",54&lt;=Creditos!$H$15),MAX(0,N599-L599),"")</f>
        <v/>
      </c>
      <c r="S599" s="46" t="str">
        <f>IF(AND(Creditos!$C$15&lt;&gt;"",Creditos!$M$15="OK",54&lt;=Creditos!$H$15),IF(R599&gt;0.005,"Exceso sin imputar",IF(P599&lt;=0.005,"Pagada",IF(E599&lt;Supuestos!$D$6,"Vencida",IF(E599=Supuestos!$D$6,"Vence hoy","Por vencer")))),"")</f>
        <v/>
      </c>
      <c r="T599" s="46">
        <f>IF(AND(Creditos!$C$15&lt;&gt;"",Creditos!$M$15="OK",54&lt;=Creditos!$H$15),IF(P599&gt;0.005,E599,999999),999999)</f>
        <v>999999</v>
      </c>
    </row>
    <row r="600" ht="25.5" customHeight="1">
      <c r="C600" s="46" t="str">
        <f>IF(AND(Creditos!$C$15&lt;&gt;"",Creditos!$M$15="OK",55&lt;=Creditos!$H$15),Creditos!$C$15,"")</f>
        <v/>
      </c>
      <c r="D600" s="46" t="str">
        <f>IF(AND(Creditos!$C$15&lt;&gt;"",Creditos!$M$15="OK",55&lt;=Creditos!$H$15),55,"")</f>
        <v/>
      </c>
      <c r="E600" s="47" t="str">
        <f>IF(AND(Creditos!$C$15&lt;&gt;"",Creditos!$M$15="OK",55&lt;=Creditos!$H$15),EDATE(Creditos!$I$15,54),"")</f>
        <v/>
      </c>
      <c r="F600" s="48" t="str">
        <f>IF(AND(Creditos!$C$15&lt;&gt;"",Creditos!$M$15="OK",55&lt;=Creditos!$H$15),M599,"")</f>
        <v/>
      </c>
      <c r="G600" s="49" t="str">
        <f>IF(AND(Creditos!$C$15&lt;&gt;"",Creditos!$M$15="OK",55&lt;=Creditos!$H$15),Creditos!$N$15,"")</f>
        <v/>
      </c>
      <c r="H600" s="48" t="str">
        <f>IF(AND(Creditos!$C$15&lt;&gt;"",Creditos!$M$15="OK",55&lt;=Creditos!$H$15),ROUND(F600*G600,2),"")</f>
        <v/>
      </c>
      <c r="I600" s="48" t="str">
        <f>IF(AND(Creditos!$C$15&lt;&gt;"",Creditos!$M$15="OK",55&lt;=Creditos!$H$15),IF(55=Creditos!$H$15,F600+H600,MIN(Creditos!$O$15,F600+H600)),"")</f>
        <v/>
      </c>
      <c r="J600" s="48" t="str">
        <f>IF(AND(Creditos!$C$15&lt;&gt;"",Creditos!$M$15="OK",55&lt;=Creditos!$H$15),MIN(F600,MAX(0,I600-H600)),"")</f>
        <v/>
      </c>
      <c r="K600" s="48" t="str">
        <f>IF(AND(Creditos!$C$15&lt;&gt;"",Creditos!$M$15="OK",55&lt;=Creditos!$H$15),Creditos!$J$15+Creditos!$K$15,"")</f>
        <v/>
      </c>
      <c r="L600" s="48" t="str">
        <f>IF(AND(Creditos!$C$15&lt;&gt;"",Creditos!$M$15="OK",55&lt;=Creditos!$H$15),I600+K600,"")</f>
        <v/>
      </c>
      <c r="M600" s="48" t="str">
        <f>IF(AND(Creditos!$C$15&lt;&gt;"",Creditos!$M$15="OK",55&lt;=Creditos!$H$15),MAX(0,F600-J600),"")</f>
        <v/>
      </c>
      <c r="N600" s="48" t="str">
        <f>IF(AND(Creditos!$C$15&lt;&gt;"",Creditos!$M$15="OK",55&lt;=Creditos!$H$15),SUMIFS(Pagos!$F$6:$F$305,Pagos!$C$6:$C$305,C600,Pagos!$D$6:$D$305,D600,Pagos!$E$6:$E$305,"&lt;="&amp;Supuestos!$D$6,Pagos!$H$6:$H$305,"OK"),"")</f>
        <v/>
      </c>
      <c r="O600" s="48" t="str">
        <f>IF(AND(Creditos!$C$15&lt;&gt;"",Creditos!$M$15="OK",55&lt;=Creditos!$H$15),MIN(J600,MAX(0,N600-K600-H600)),"")</f>
        <v/>
      </c>
      <c r="P600" s="48" t="str">
        <f>IF(AND(Creditos!$C$15&lt;&gt;"",Creditos!$M$15="OK",55&lt;=Creditos!$H$15),MAX(0,L600-N600),"")</f>
        <v/>
      </c>
      <c r="Q600" s="50" t="str">
        <f>IF(AND(Creditos!$C$15&lt;&gt;"",Creditos!$M$15="OK",55&lt;=Creditos!$H$15),IF(AND(E600&lt;Supuestos!$D$6,P600&gt;0.005),Supuestos!$D$6-E600,0),"")</f>
        <v/>
      </c>
      <c r="R600" s="48" t="str">
        <f>IF(AND(Creditos!$C$15&lt;&gt;"",Creditos!$M$15="OK",55&lt;=Creditos!$H$15),MAX(0,N600-L600),"")</f>
        <v/>
      </c>
      <c r="S600" s="46" t="str">
        <f>IF(AND(Creditos!$C$15&lt;&gt;"",Creditos!$M$15="OK",55&lt;=Creditos!$H$15),IF(R600&gt;0.005,"Exceso sin imputar",IF(P600&lt;=0.005,"Pagada",IF(E600&lt;Supuestos!$D$6,"Vencida",IF(E600=Supuestos!$D$6,"Vence hoy","Por vencer")))),"")</f>
        <v/>
      </c>
      <c r="T600" s="46">
        <f>IF(AND(Creditos!$C$15&lt;&gt;"",Creditos!$M$15="OK",55&lt;=Creditos!$H$15),IF(P600&gt;0.005,E600,999999),999999)</f>
        <v>999999</v>
      </c>
    </row>
    <row r="601" ht="25.5" customHeight="1">
      <c r="C601" s="46" t="str">
        <f>IF(AND(Creditos!$C$15&lt;&gt;"",Creditos!$M$15="OK",56&lt;=Creditos!$H$15),Creditos!$C$15,"")</f>
        <v/>
      </c>
      <c r="D601" s="46" t="str">
        <f>IF(AND(Creditos!$C$15&lt;&gt;"",Creditos!$M$15="OK",56&lt;=Creditos!$H$15),56,"")</f>
        <v/>
      </c>
      <c r="E601" s="47" t="str">
        <f>IF(AND(Creditos!$C$15&lt;&gt;"",Creditos!$M$15="OK",56&lt;=Creditos!$H$15),EDATE(Creditos!$I$15,55),"")</f>
        <v/>
      </c>
      <c r="F601" s="48" t="str">
        <f>IF(AND(Creditos!$C$15&lt;&gt;"",Creditos!$M$15="OK",56&lt;=Creditos!$H$15),M600,"")</f>
        <v/>
      </c>
      <c r="G601" s="49" t="str">
        <f>IF(AND(Creditos!$C$15&lt;&gt;"",Creditos!$M$15="OK",56&lt;=Creditos!$H$15),Creditos!$N$15,"")</f>
        <v/>
      </c>
      <c r="H601" s="48" t="str">
        <f>IF(AND(Creditos!$C$15&lt;&gt;"",Creditos!$M$15="OK",56&lt;=Creditos!$H$15),ROUND(F601*G601,2),"")</f>
        <v/>
      </c>
      <c r="I601" s="48" t="str">
        <f>IF(AND(Creditos!$C$15&lt;&gt;"",Creditos!$M$15="OK",56&lt;=Creditos!$H$15),IF(56=Creditos!$H$15,F601+H601,MIN(Creditos!$O$15,F601+H601)),"")</f>
        <v/>
      </c>
      <c r="J601" s="48" t="str">
        <f>IF(AND(Creditos!$C$15&lt;&gt;"",Creditos!$M$15="OK",56&lt;=Creditos!$H$15),MIN(F601,MAX(0,I601-H601)),"")</f>
        <v/>
      </c>
      <c r="K601" s="48" t="str">
        <f>IF(AND(Creditos!$C$15&lt;&gt;"",Creditos!$M$15="OK",56&lt;=Creditos!$H$15),Creditos!$J$15+Creditos!$K$15,"")</f>
        <v/>
      </c>
      <c r="L601" s="48" t="str">
        <f>IF(AND(Creditos!$C$15&lt;&gt;"",Creditos!$M$15="OK",56&lt;=Creditos!$H$15),I601+K601,"")</f>
        <v/>
      </c>
      <c r="M601" s="48" t="str">
        <f>IF(AND(Creditos!$C$15&lt;&gt;"",Creditos!$M$15="OK",56&lt;=Creditos!$H$15),MAX(0,F601-J601),"")</f>
        <v/>
      </c>
      <c r="N601" s="48" t="str">
        <f>IF(AND(Creditos!$C$15&lt;&gt;"",Creditos!$M$15="OK",56&lt;=Creditos!$H$15),SUMIFS(Pagos!$F$6:$F$305,Pagos!$C$6:$C$305,C601,Pagos!$D$6:$D$305,D601,Pagos!$E$6:$E$305,"&lt;="&amp;Supuestos!$D$6,Pagos!$H$6:$H$305,"OK"),"")</f>
        <v/>
      </c>
      <c r="O601" s="48" t="str">
        <f>IF(AND(Creditos!$C$15&lt;&gt;"",Creditos!$M$15="OK",56&lt;=Creditos!$H$15),MIN(J601,MAX(0,N601-K601-H601)),"")</f>
        <v/>
      </c>
      <c r="P601" s="48" t="str">
        <f>IF(AND(Creditos!$C$15&lt;&gt;"",Creditos!$M$15="OK",56&lt;=Creditos!$H$15),MAX(0,L601-N601),"")</f>
        <v/>
      </c>
      <c r="Q601" s="50" t="str">
        <f>IF(AND(Creditos!$C$15&lt;&gt;"",Creditos!$M$15="OK",56&lt;=Creditos!$H$15),IF(AND(E601&lt;Supuestos!$D$6,P601&gt;0.005),Supuestos!$D$6-E601,0),"")</f>
        <v/>
      </c>
      <c r="R601" s="48" t="str">
        <f>IF(AND(Creditos!$C$15&lt;&gt;"",Creditos!$M$15="OK",56&lt;=Creditos!$H$15),MAX(0,N601-L601),"")</f>
        <v/>
      </c>
      <c r="S601" s="46" t="str">
        <f>IF(AND(Creditos!$C$15&lt;&gt;"",Creditos!$M$15="OK",56&lt;=Creditos!$H$15),IF(R601&gt;0.005,"Exceso sin imputar",IF(P601&lt;=0.005,"Pagada",IF(E601&lt;Supuestos!$D$6,"Vencida",IF(E601=Supuestos!$D$6,"Vence hoy","Por vencer")))),"")</f>
        <v/>
      </c>
      <c r="T601" s="46">
        <f>IF(AND(Creditos!$C$15&lt;&gt;"",Creditos!$M$15="OK",56&lt;=Creditos!$H$15),IF(P601&gt;0.005,E601,999999),999999)</f>
        <v>999999</v>
      </c>
    </row>
    <row r="602" ht="25.5" customHeight="1">
      <c r="C602" s="46" t="str">
        <f>IF(AND(Creditos!$C$15&lt;&gt;"",Creditos!$M$15="OK",57&lt;=Creditos!$H$15),Creditos!$C$15,"")</f>
        <v/>
      </c>
      <c r="D602" s="46" t="str">
        <f>IF(AND(Creditos!$C$15&lt;&gt;"",Creditos!$M$15="OK",57&lt;=Creditos!$H$15),57,"")</f>
        <v/>
      </c>
      <c r="E602" s="47" t="str">
        <f>IF(AND(Creditos!$C$15&lt;&gt;"",Creditos!$M$15="OK",57&lt;=Creditos!$H$15),EDATE(Creditos!$I$15,56),"")</f>
        <v/>
      </c>
      <c r="F602" s="48" t="str">
        <f>IF(AND(Creditos!$C$15&lt;&gt;"",Creditos!$M$15="OK",57&lt;=Creditos!$H$15),M601,"")</f>
        <v/>
      </c>
      <c r="G602" s="49" t="str">
        <f>IF(AND(Creditos!$C$15&lt;&gt;"",Creditos!$M$15="OK",57&lt;=Creditos!$H$15),Creditos!$N$15,"")</f>
        <v/>
      </c>
      <c r="H602" s="48" t="str">
        <f>IF(AND(Creditos!$C$15&lt;&gt;"",Creditos!$M$15="OK",57&lt;=Creditos!$H$15),ROUND(F602*G602,2),"")</f>
        <v/>
      </c>
      <c r="I602" s="48" t="str">
        <f>IF(AND(Creditos!$C$15&lt;&gt;"",Creditos!$M$15="OK",57&lt;=Creditos!$H$15),IF(57=Creditos!$H$15,F602+H602,MIN(Creditos!$O$15,F602+H602)),"")</f>
        <v/>
      </c>
      <c r="J602" s="48" t="str">
        <f>IF(AND(Creditos!$C$15&lt;&gt;"",Creditos!$M$15="OK",57&lt;=Creditos!$H$15),MIN(F602,MAX(0,I602-H602)),"")</f>
        <v/>
      </c>
      <c r="K602" s="48" t="str">
        <f>IF(AND(Creditos!$C$15&lt;&gt;"",Creditos!$M$15="OK",57&lt;=Creditos!$H$15),Creditos!$J$15+Creditos!$K$15,"")</f>
        <v/>
      </c>
      <c r="L602" s="48" t="str">
        <f>IF(AND(Creditos!$C$15&lt;&gt;"",Creditos!$M$15="OK",57&lt;=Creditos!$H$15),I602+K602,"")</f>
        <v/>
      </c>
      <c r="M602" s="48" t="str">
        <f>IF(AND(Creditos!$C$15&lt;&gt;"",Creditos!$M$15="OK",57&lt;=Creditos!$H$15),MAX(0,F602-J602),"")</f>
        <v/>
      </c>
      <c r="N602" s="48" t="str">
        <f>IF(AND(Creditos!$C$15&lt;&gt;"",Creditos!$M$15="OK",57&lt;=Creditos!$H$15),SUMIFS(Pagos!$F$6:$F$305,Pagos!$C$6:$C$305,C602,Pagos!$D$6:$D$305,D602,Pagos!$E$6:$E$305,"&lt;="&amp;Supuestos!$D$6,Pagos!$H$6:$H$305,"OK"),"")</f>
        <v/>
      </c>
      <c r="O602" s="48" t="str">
        <f>IF(AND(Creditos!$C$15&lt;&gt;"",Creditos!$M$15="OK",57&lt;=Creditos!$H$15),MIN(J602,MAX(0,N602-K602-H602)),"")</f>
        <v/>
      </c>
      <c r="P602" s="48" t="str">
        <f>IF(AND(Creditos!$C$15&lt;&gt;"",Creditos!$M$15="OK",57&lt;=Creditos!$H$15),MAX(0,L602-N602),"")</f>
        <v/>
      </c>
      <c r="Q602" s="50" t="str">
        <f>IF(AND(Creditos!$C$15&lt;&gt;"",Creditos!$M$15="OK",57&lt;=Creditos!$H$15),IF(AND(E602&lt;Supuestos!$D$6,P602&gt;0.005),Supuestos!$D$6-E602,0),"")</f>
        <v/>
      </c>
      <c r="R602" s="48" t="str">
        <f>IF(AND(Creditos!$C$15&lt;&gt;"",Creditos!$M$15="OK",57&lt;=Creditos!$H$15),MAX(0,N602-L602),"")</f>
        <v/>
      </c>
      <c r="S602" s="46" t="str">
        <f>IF(AND(Creditos!$C$15&lt;&gt;"",Creditos!$M$15="OK",57&lt;=Creditos!$H$15),IF(R602&gt;0.005,"Exceso sin imputar",IF(P602&lt;=0.005,"Pagada",IF(E602&lt;Supuestos!$D$6,"Vencida",IF(E602=Supuestos!$D$6,"Vence hoy","Por vencer")))),"")</f>
        <v/>
      </c>
      <c r="T602" s="46">
        <f>IF(AND(Creditos!$C$15&lt;&gt;"",Creditos!$M$15="OK",57&lt;=Creditos!$H$15),IF(P602&gt;0.005,E602,999999),999999)</f>
        <v>999999</v>
      </c>
    </row>
    <row r="603" ht="25.5" customHeight="1">
      <c r="C603" s="46" t="str">
        <f>IF(AND(Creditos!$C$15&lt;&gt;"",Creditos!$M$15="OK",58&lt;=Creditos!$H$15),Creditos!$C$15,"")</f>
        <v/>
      </c>
      <c r="D603" s="46" t="str">
        <f>IF(AND(Creditos!$C$15&lt;&gt;"",Creditos!$M$15="OK",58&lt;=Creditos!$H$15),58,"")</f>
        <v/>
      </c>
      <c r="E603" s="47" t="str">
        <f>IF(AND(Creditos!$C$15&lt;&gt;"",Creditos!$M$15="OK",58&lt;=Creditos!$H$15),EDATE(Creditos!$I$15,57),"")</f>
        <v/>
      </c>
      <c r="F603" s="48" t="str">
        <f>IF(AND(Creditos!$C$15&lt;&gt;"",Creditos!$M$15="OK",58&lt;=Creditos!$H$15),M602,"")</f>
        <v/>
      </c>
      <c r="G603" s="49" t="str">
        <f>IF(AND(Creditos!$C$15&lt;&gt;"",Creditos!$M$15="OK",58&lt;=Creditos!$H$15),Creditos!$N$15,"")</f>
        <v/>
      </c>
      <c r="H603" s="48" t="str">
        <f>IF(AND(Creditos!$C$15&lt;&gt;"",Creditos!$M$15="OK",58&lt;=Creditos!$H$15),ROUND(F603*G603,2),"")</f>
        <v/>
      </c>
      <c r="I603" s="48" t="str">
        <f>IF(AND(Creditos!$C$15&lt;&gt;"",Creditos!$M$15="OK",58&lt;=Creditos!$H$15),IF(58=Creditos!$H$15,F603+H603,MIN(Creditos!$O$15,F603+H603)),"")</f>
        <v/>
      </c>
      <c r="J603" s="48" t="str">
        <f>IF(AND(Creditos!$C$15&lt;&gt;"",Creditos!$M$15="OK",58&lt;=Creditos!$H$15),MIN(F603,MAX(0,I603-H603)),"")</f>
        <v/>
      </c>
      <c r="K603" s="48" t="str">
        <f>IF(AND(Creditos!$C$15&lt;&gt;"",Creditos!$M$15="OK",58&lt;=Creditos!$H$15),Creditos!$J$15+Creditos!$K$15,"")</f>
        <v/>
      </c>
      <c r="L603" s="48" t="str">
        <f>IF(AND(Creditos!$C$15&lt;&gt;"",Creditos!$M$15="OK",58&lt;=Creditos!$H$15),I603+K603,"")</f>
        <v/>
      </c>
      <c r="M603" s="48" t="str">
        <f>IF(AND(Creditos!$C$15&lt;&gt;"",Creditos!$M$15="OK",58&lt;=Creditos!$H$15),MAX(0,F603-J603),"")</f>
        <v/>
      </c>
      <c r="N603" s="48" t="str">
        <f>IF(AND(Creditos!$C$15&lt;&gt;"",Creditos!$M$15="OK",58&lt;=Creditos!$H$15),SUMIFS(Pagos!$F$6:$F$305,Pagos!$C$6:$C$305,C603,Pagos!$D$6:$D$305,D603,Pagos!$E$6:$E$305,"&lt;="&amp;Supuestos!$D$6,Pagos!$H$6:$H$305,"OK"),"")</f>
        <v/>
      </c>
      <c r="O603" s="48" t="str">
        <f>IF(AND(Creditos!$C$15&lt;&gt;"",Creditos!$M$15="OK",58&lt;=Creditos!$H$15),MIN(J603,MAX(0,N603-K603-H603)),"")</f>
        <v/>
      </c>
      <c r="P603" s="48" t="str">
        <f>IF(AND(Creditos!$C$15&lt;&gt;"",Creditos!$M$15="OK",58&lt;=Creditos!$H$15),MAX(0,L603-N603),"")</f>
        <v/>
      </c>
      <c r="Q603" s="50" t="str">
        <f>IF(AND(Creditos!$C$15&lt;&gt;"",Creditos!$M$15="OK",58&lt;=Creditos!$H$15),IF(AND(E603&lt;Supuestos!$D$6,P603&gt;0.005),Supuestos!$D$6-E603,0),"")</f>
        <v/>
      </c>
      <c r="R603" s="48" t="str">
        <f>IF(AND(Creditos!$C$15&lt;&gt;"",Creditos!$M$15="OK",58&lt;=Creditos!$H$15),MAX(0,N603-L603),"")</f>
        <v/>
      </c>
      <c r="S603" s="46" t="str">
        <f>IF(AND(Creditos!$C$15&lt;&gt;"",Creditos!$M$15="OK",58&lt;=Creditos!$H$15),IF(R603&gt;0.005,"Exceso sin imputar",IF(P603&lt;=0.005,"Pagada",IF(E603&lt;Supuestos!$D$6,"Vencida",IF(E603=Supuestos!$D$6,"Vence hoy","Por vencer")))),"")</f>
        <v/>
      </c>
      <c r="T603" s="46">
        <f>IF(AND(Creditos!$C$15&lt;&gt;"",Creditos!$M$15="OK",58&lt;=Creditos!$H$15),IF(P603&gt;0.005,E603,999999),999999)</f>
        <v>999999</v>
      </c>
    </row>
    <row r="604" ht="25.5" customHeight="1">
      <c r="C604" s="46" t="str">
        <f>IF(AND(Creditos!$C$15&lt;&gt;"",Creditos!$M$15="OK",59&lt;=Creditos!$H$15),Creditos!$C$15,"")</f>
        <v/>
      </c>
      <c r="D604" s="46" t="str">
        <f>IF(AND(Creditos!$C$15&lt;&gt;"",Creditos!$M$15="OK",59&lt;=Creditos!$H$15),59,"")</f>
        <v/>
      </c>
      <c r="E604" s="47" t="str">
        <f>IF(AND(Creditos!$C$15&lt;&gt;"",Creditos!$M$15="OK",59&lt;=Creditos!$H$15),EDATE(Creditos!$I$15,58),"")</f>
        <v/>
      </c>
      <c r="F604" s="48" t="str">
        <f>IF(AND(Creditos!$C$15&lt;&gt;"",Creditos!$M$15="OK",59&lt;=Creditos!$H$15),M603,"")</f>
        <v/>
      </c>
      <c r="G604" s="49" t="str">
        <f>IF(AND(Creditos!$C$15&lt;&gt;"",Creditos!$M$15="OK",59&lt;=Creditos!$H$15),Creditos!$N$15,"")</f>
        <v/>
      </c>
      <c r="H604" s="48" t="str">
        <f>IF(AND(Creditos!$C$15&lt;&gt;"",Creditos!$M$15="OK",59&lt;=Creditos!$H$15),ROUND(F604*G604,2),"")</f>
        <v/>
      </c>
      <c r="I604" s="48" t="str">
        <f>IF(AND(Creditos!$C$15&lt;&gt;"",Creditos!$M$15="OK",59&lt;=Creditos!$H$15),IF(59=Creditos!$H$15,F604+H604,MIN(Creditos!$O$15,F604+H604)),"")</f>
        <v/>
      </c>
      <c r="J604" s="48" t="str">
        <f>IF(AND(Creditos!$C$15&lt;&gt;"",Creditos!$M$15="OK",59&lt;=Creditos!$H$15),MIN(F604,MAX(0,I604-H604)),"")</f>
        <v/>
      </c>
      <c r="K604" s="48" t="str">
        <f>IF(AND(Creditos!$C$15&lt;&gt;"",Creditos!$M$15="OK",59&lt;=Creditos!$H$15),Creditos!$J$15+Creditos!$K$15,"")</f>
        <v/>
      </c>
      <c r="L604" s="48" t="str">
        <f>IF(AND(Creditos!$C$15&lt;&gt;"",Creditos!$M$15="OK",59&lt;=Creditos!$H$15),I604+K604,"")</f>
        <v/>
      </c>
      <c r="M604" s="48" t="str">
        <f>IF(AND(Creditos!$C$15&lt;&gt;"",Creditos!$M$15="OK",59&lt;=Creditos!$H$15),MAX(0,F604-J604),"")</f>
        <v/>
      </c>
      <c r="N604" s="48" t="str">
        <f>IF(AND(Creditos!$C$15&lt;&gt;"",Creditos!$M$15="OK",59&lt;=Creditos!$H$15),SUMIFS(Pagos!$F$6:$F$305,Pagos!$C$6:$C$305,C604,Pagos!$D$6:$D$305,D604,Pagos!$E$6:$E$305,"&lt;="&amp;Supuestos!$D$6,Pagos!$H$6:$H$305,"OK"),"")</f>
        <v/>
      </c>
      <c r="O604" s="48" t="str">
        <f>IF(AND(Creditos!$C$15&lt;&gt;"",Creditos!$M$15="OK",59&lt;=Creditos!$H$15),MIN(J604,MAX(0,N604-K604-H604)),"")</f>
        <v/>
      </c>
      <c r="P604" s="48" t="str">
        <f>IF(AND(Creditos!$C$15&lt;&gt;"",Creditos!$M$15="OK",59&lt;=Creditos!$H$15),MAX(0,L604-N604),"")</f>
        <v/>
      </c>
      <c r="Q604" s="50" t="str">
        <f>IF(AND(Creditos!$C$15&lt;&gt;"",Creditos!$M$15="OK",59&lt;=Creditos!$H$15),IF(AND(E604&lt;Supuestos!$D$6,P604&gt;0.005),Supuestos!$D$6-E604,0),"")</f>
        <v/>
      </c>
      <c r="R604" s="48" t="str">
        <f>IF(AND(Creditos!$C$15&lt;&gt;"",Creditos!$M$15="OK",59&lt;=Creditos!$H$15),MAX(0,N604-L604),"")</f>
        <v/>
      </c>
      <c r="S604" s="46" t="str">
        <f>IF(AND(Creditos!$C$15&lt;&gt;"",Creditos!$M$15="OK",59&lt;=Creditos!$H$15),IF(R604&gt;0.005,"Exceso sin imputar",IF(P604&lt;=0.005,"Pagada",IF(E604&lt;Supuestos!$D$6,"Vencida",IF(E604=Supuestos!$D$6,"Vence hoy","Por vencer")))),"")</f>
        <v/>
      </c>
      <c r="T604" s="46">
        <f>IF(AND(Creditos!$C$15&lt;&gt;"",Creditos!$M$15="OK",59&lt;=Creditos!$H$15),IF(P604&gt;0.005,E604,999999),999999)</f>
        <v>999999</v>
      </c>
    </row>
    <row r="605" ht="25.5" customHeight="1">
      <c r="C605" s="46" t="str">
        <f>IF(AND(Creditos!$C$15&lt;&gt;"",Creditos!$M$15="OK",60&lt;=Creditos!$H$15),Creditos!$C$15,"")</f>
        <v/>
      </c>
      <c r="D605" s="46" t="str">
        <f>IF(AND(Creditos!$C$15&lt;&gt;"",Creditos!$M$15="OK",60&lt;=Creditos!$H$15),60,"")</f>
        <v/>
      </c>
      <c r="E605" s="47" t="str">
        <f>IF(AND(Creditos!$C$15&lt;&gt;"",Creditos!$M$15="OK",60&lt;=Creditos!$H$15),EDATE(Creditos!$I$15,59),"")</f>
        <v/>
      </c>
      <c r="F605" s="48" t="str">
        <f>IF(AND(Creditos!$C$15&lt;&gt;"",Creditos!$M$15="OK",60&lt;=Creditos!$H$15),M604,"")</f>
        <v/>
      </c>
      <c r="G605" s="49" t="str">
        <f>IF(AND(Creditos!$C$15&lt;&gt;"",Creditos!$M$15="OK",60&lt;=Creditos!$H$15),Creditos!$N$15,"")</f>
        <v/>
      </c>
      <c r="H605" s="48" t="str">
        <f>IF(AND(Creditos!$C$15&lt;&gt;"",Creditos!$M$15="OK",60&lt;=Creditos!$H$15),ROUND(F605*G605,2),"")</f>
        <v/>
      </c>
      <c r="I605" s="48" t="str">
        <f>IF(AND(Creditos!$C$15&lt;&gt;"",Creditos!$M$15="OK",60&lt;=Creditos!$H$15),IF(60=Creditos!$H$15,F605+H605,MIN(Creditos!$O$15,F605+H605)),"")</f>
        <v/>
      </c>
      <c r="J605" s="48" t="str">
        <f>IF(AND(Creditos!$C$15&lt;&gt;"",Creditos!$M$15="OK",60&lt;=Creditos!$H$15),MIN(F605,MAX(0,I605-H605)),"")</f>
        <v/>
      </c>
      <c r="K605" s="48" t="str">
        <f>IF(AND(Creditos!$C$15&lt;&gt;"",Creditos!$M$15="OK",60&lt;=Creditos!$H$15),Creditos!$J$15+Creditos!$K$15,"")</f>
        <v/>
      </c>
      <c r="L605" s="48" t="str">
        <f>IF(AND(Creditos!$C$15&lt;&gt;"",Creditos!$M$15="OK",60&lt;=Creditos!$H$15),I605+K605,"")</f>
        <v/>
      </c>
      <c r="M605" s="48" t="str">
        <f>IF(AND(Creditos!$C$15&lt;&gt;"",Creditos!$M$15="OK",60&lt;=Creditos!$H$15),MAX(0,F605-J605),"")</f>
        <v/>
      </c>
      <c r="N605" s="48" t="str">
        <f>IF(AND(Creditos!$C$15&lt;&gt;"",Creditos!$M$15="OK",60&lt;=Creditos!$H$15),SUMIFS(Pagos!$F$6:$F$305,Pagos!$C$6:$C$305,C605,Pagos!$D$6:$D$305,D605,Pagos!$E$6:$E$305,"&lt;="&amp;Supuestos!$D$6,Pagos!$H$6:$H$305,"OK"),"")</f>
        <v/>
      </c>
      <c r="O605" s="48" t="str">
        <f>IF(AND(Creditos!$C$15&lt;&gt;"",Creditos!$M$15="OK",60&lt;=Creditos!$H$15),MIN(J605,MAX(0,N605-K605-H605)),"")</f>
        <v/>
      </c>
      <c r="P605" s="48" t="str">
        <f>IF(AND(Creditos!$C$15&lt;&gt;"",Creditos!$M$15="OK",60&lt;=Creditos!$H$15),MAX(0,L605-N605),"")</f>
        <v/>
      </c>
      <c r="Q605" s="50" t="str">
        <f>IF(AND(Creditos!$C$15&lt;&gt;"",Creditos!$M$15="OK",60&lt;=Creditos!$H$15),IF(AND(E605&lt;Supuestos!$D$6,P605&gt;0.005),Supuestos!$D$6-E605,0),"")</f>
        <v/>
      </c>
      <c r="R605" s="48" t="str">
        <f>IF(AND(Creditos!$C$15&lt;&gt;"",Creditos!$M$15="OK",60&lt;=Creditos!$H$15),MAX(0,N605-L605),"")</f>
        <v/>
      </c>
      <c r="S605" s="46" t="str">
        <f>IF(AND(Creditos!$C$15&lt;&gt;"",Creditos!$M$15="OK",60&lt;=Creditos!$H$15),IF(R605&gt;0.005,"Exceso sin imputar",IF(P605&lt;=0.005,"Pagada",IF(E605&lt;Supuestos!$D$6,"Vencida",IF(E605=Supuestos!$D$6,"Vence hoy","Por vencer")))),"")</f>
        <v/>
      </c>
      <c r="T605" s="46">
        <f>IF(AND(Creditos!$C$15&lt;&gt;"",Creditos!$M$15="OK",60&lt;=Creditos!$H$15),IF(P605&gt;0.005,E605,999999),999999)</f>
        <v>999999</v>
      </c>
    </row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S6:S605">
    <cfRule type="containsText" dxfId="1" priority="1" stopIfTrue="1" operator="containsText" text="Vencida">
      <formula>NOT(ISERROR(SEARCH(("Vencida"),(S6))))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6.0"/>
    <col customWidth="1" min="4" max="6" width="19.0"/>
    <col customWidth="1" min="7" max="7" width="38.0"/>
    <col customWidth="1" min="8" max="8" width="26.0"/>
    <col customWidth="1" min="9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54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6" t="s">
        <v>7</v>
      </c>
      <c r="D5" s="6" t="s">
        <v>55</v>
      </c>
      <c r="E5" s="6" t="s">
        <v>58</v>
      </c>
      <c r="F5" s="6" t="s">
        <v>60</v>
      </c>
      <c r="G5" s="6" t="s">
        <v>62</v>
      </c>
      <c r="H5" s="6" t="s">
        <v>52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8" t="s">
        <v>38</v>
      </c>
      <c r="D6" s="8">
        <v>1.0</v>
      </c>
      <c r="E6" s="21">
        <v>46297.0</v>
      </c>
      <c r="F6" s="32">
        <v>40000.0</v>
      </c>
      <c r="G6" s="8" t="s">
        <v>71</v>
      </c>
      <c r="H6" s="34" t="str">
        <f>IF(COUNTA(C6:G6)=0,"",IF(AND(COUNTIF(Creditos!C6:C15,C6)=1,ISNUMBER(D6),D6&gt;=1,D6=INT(D6),D6&lt;=SUMIF(Creditos!C6:C15,C6,Creditos!H6:H15),ISNUMBER(E6),E6&gt;0,ISNUMBER(F6),F6&gt;0),"OK","Revisar pago"))</f>
        <v>OK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8"/>
      <c r="D7" s="8"/>
      <c r="E7" s="21"/>
      <c r="F7" s="32"/>
      <c r="G7" s="8"/>
      <c r="H7" s="34" t="str">
        <f>IF(COUNTA(C7:G7)=0,"",IF(AND(COUNTIF(Creditos!C6:C15,C7)=1,ISNUMBER(D7),D7&gt;=1,D7=INT(D7),D7&lt;=SUMIF(Creditos!C6:C15,C7,Creditos!H6:H15),ISNUMBER(E7),E7&gt;0,ISNUMBER(F7),F7&gt;0),"OK","Revisar pago"))</f>
        <v/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8"/>
      <c r="D8" s="8"/>
      <c r="E8" s="21"/>
      <c r="F8" s="32"/>
      <c r="G8" s="8"/>
      <c r="H8" s="34" t="str">
        <f>IF(COUNTA(C8:G8)=0,"",IF(AND(COUNTIF(Creditos!C6:C15,C8)=1,ISNUMBER(D8),D8&gt;=1,D8=INT(D8),D8&lt;=SUMIF(Creditos!C6:C15,C8,Creditos!H6:H15),ISNUMBER(E8),E8&gt;0,ISNUMBER(F8),F8&gt;0),"OK","Revisar pago"))</f>
        <v/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8"/>
      <c r="D9" s="8"/>
      <c r="E9" s="21"/>
      <c r="F9" s="32"/>
      <c r="G9" s="8"/>
      <c r="H9" s="34" t="str">
        <f>IF(COUNTA(C9:G9)=0,"",IF(AND(COUNTIF(Creditos!C6:C15,C9)=1,ISNUMBER(D9),D9&gt;=1,D9=INT(D9),D9&lt;=SUMIF(Creditos!C6:C15,C9,Creditos!H6:H15),ISNUMBER(E9),E9&gt;0,ISNUMBER(F9),F9&gt;0),"OK","Revisar pago"))</f>
        <v/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8"/>
      <c r="D10" s="8"/>
      <c r="E10" s="21"/>
      <c r="F10" s="32"/>
      <c r="G10" s="8"/>
      <c r="H10" s="34" t="str">
        <f>IF(COUNTA(C10:G10)=0,"",IF(AND(COUNTIF(Creditos!C6:C15,C10)=1,ISNUMBER(D10),D10&gt;=1,D10=INT(D10),D10&lt;=SUMIF(Creditos!C6:C15,C10,Creditos!H6:H15),ISNUMBER(E10),E10&gt;0,ISNUMBER(F10),F10&gt;0),"OK","Revisar pago"))</f>
        <v/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8"/>
      <c r="D11" s="8"/>
      <c r="E11" s="21"/>
      <c r="F11" s="32"/>
      <c r="G11" s="8"/>
      <c r="H11" s="34" t="str">
        <f>IF(COUNTA(C11:G11)=0,"",IF(AND(COUNTIF(Creditos!C6:C15,C11)=1,ISNUMBER(D11),D11&gt;=1,D11=INT(D11),D11&lt;=SUMIF(Creditos!C6:C15,C11,Creditos!H6:H15),ISNUMBER(E11),E11&gt;0,ISNUMBER(F11),F11&gt;0),"OK","Revisar pago"))</f>
        <v/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8"/>
      <c r="D12" s="8"/>
      <c r="E12" s="21"/>
      <c r="F12" s="32"/>
      <c r="G12" s="8"/>
      <c r="H12" s="34" t="str">
        <f>IF(COUNTA(C12:G12)=0,"",IF(AND(COUNTIF(Creditos!C6:C15,C12)=1,ISNUMBER(D12),D12&gt;=1,D12=INT(D12),D12&lt;=SUMIF(Creditos!C6:C15,C12,Creditos!H6:H15),ISNUMBER(E12),E12&gt;0,ISNUMBER(F12),F12&gt;0),"OK","Revisar pago"))</f>
        <v/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8"/>
      <c r="D13" s="8"/>
      <c r="E13" s="21"/>
      <c r="F13" s="32"/>
      <c r="G13" s="8"/>
      <c r="H13" s="34" t="str">
        <f>IF(COUNTA(C13:G13)=0,"",IF(AND(COUNTIF(Creditos!C6:C15,C13)=1,ISNUMBER(D13),D13&gt;=1,D13=INT(D13),D13&lt;=SUMIF(Creditos!C6:C15,C13,Creditos!H6:H15),ISNUMBER(E13),E13&gt;0,ISNUMBER(F13),F13&gt;0),"OK","Revisar pago"))</f>
        <v/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8"/>
      <c r="D14" s="8"/>
      <c r="E14" s="21"/>
      <c r="F14" s="32"/>
      <c r="G14" s="8"/>
      <c r="H14" s="34" t="str">
        <f>IF(COUNTA(C14:G14)=0,"",IF(AND(COUNTIF(Creditos!C6:C15,C14)=1,ISNUMBER(D14),D14&gt;=1,D14=INT(D14),D14&lt;=SUMIF(Creditos!C6:C15,C14,Creditos!H6:H15),ISNUMBER(E14),E14&gt;0,ISNUMBER(F14),F14&gt;0),"OK","Revisar pago"))</f>
        <v/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8"/>
      <c r="D15" s="8"/>
      <c r="E15" s="21"/>
      <c r="F15" s="32"/>
      <c r="G15" s="8"/>
      <c r="H15" s="34" t="str">
        <f>IF(COUNTA(C15:G15)=0,"",IF(AND(COUNTIF(Creditos!C6:C15,C15)=1,ISNUMBER(D15),D15&gt;=1,D15=INT(D15),D15&lt;=SUMIF(Creditos!C6:C15,C15,Creditos!H6:H15),ISNUMBER(E15),E15&gt;0,ISNUMBER(F15),F15&gt;0),"OK","Revisar pago"))</f>
        <v/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8"/>
      <c r="D16" s="8"/>
      <c r="E16" s="21"/>
      <c r="F16" s="32"/>
      <c r="G16" s="8"/>
      <c r="H16" s="34" t="str">
        <f>IF(COUNTA(C16:G16)=0,"",IF(AND(COUNTIF(Creditos!C6:C15,C16)=1,ISNUMBER(D16),D16&gt;=1,D16=INT(D16),D16&lt;=SUMIF(Creditos!C6:C15,C16,Creditos!H6:H15),ISNUMBER(E16),E16&gt;0,ISNUMBER(F16),F16&gt;0),"OK","Revisar pago"))</f>
        <v/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8"/>
      <c r="D17" s="8"/>
      <c r="E17" s="21"/>
      <c r="F17" s="32"/>
      <c r="G17" s="8"/>
      <c r="H17" s="34" t="str">
        <f>IF(COUNTA(C17:G17)=0,"",IF(AND(COUNTIF(Creditos!C6:C15,C17)=1,ISNUMBER(D17),D17&gt;=1,D17=INT(D17),D17&lt;=SUMIF(Creditos!C6:C15,C17,Creditos!H6:H15),ISNUMBER(E17),E17&gt;0,ISNUMBER(F17),F17&gt;0),"OK","Revisar pago"))</f>
        <v/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8"/>
      <c r="D18" s="8"/>
      <c r="E18" s="21"/>
      <c r="F18" s="32"/>
      <c r="G18" s="8"/>
      <c r="H18" s="34" t="str">
        <f>IF(COUNTA(C18:G18)=0,"",IF(AND(COUNTIF(Creditos!C6:C15,C18)=1,ISNUMBER(D18),D18&gt;=1,D18=INT(D18),D18&lt;=SUMIF(Creditos!C6:C15,C18,Creditos!H6:H15),ISNUMBER(E18),E18&gt;0,ISNUMBER(F18),F18&gt;0),"OK","Revisar pago"))</f>
        <v/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8"/>
      <c r="D19" s="8"/>
      <c r="E19" s="21"/>
      <c r="F19" s="32"/>
      <c r="G19" s="8"/>
      <c r="H19" s="34" t="str">
        <f>IF(COUNTA(C19:G19)=0,"",IF(AND(COUNTIF(Creditos!C6:C15,C19)=1,ISNUMBER(D19),D19&gt;=1,D19=INT(D19),D19&lt;=SUMIF(Creditos!C6:C15,C19,Creditos!H6:H15),ISNUMBER(E19),E19&gt;0,ISNUMBER(F19),F19&gt;0),"OK","Revisar pago"))</f>
        <v/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8"/>
      <c r="D20" s="8"/>
      <c r="E20" s="21"/>
      <c r="F20" s="32"/>
      <c r="G20" s="8"/>
      <c r="H20" s="34" t="str">
        <f>IF(COUNTA(C20:G20)=0,"",IF(AND(COUNTIF(Creditos!C6:C15,C20)=1,ISNUMBER(D20),D20&gt;=1,D20=INT(D20),D20&lt;=SUMIF(Creditos!C6:C15,C20,Creditos!H6:H15),ISNUMBER(E20),E20&gt;0,ISNUMBER(F20),F20&gt;0),"OK","Revisar pago"))</f>
        <v/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8"/>
      <c r="D21" s="8"/>
      <c r="E21" s="21"/>
      <c r="F21" s="32"/>
      <c r="G21" s="8"/>
      <c r="H21" s="34" t="str">
        <f>IF(COUNTA(C21:G21)=0,"",IF(AND(COUNTIF(Creditos!C6:C15,C21)=1,ISNUMBER(D21),D21&gt;=1,D21=INT(D21),D21&lt;=SUMIF(Creditos!C6:C15,C21,Creditos!H6:H15),ISNUMBER(E21),E21&gt;0,ISNUMBER(F21),F21&gt;0),"OK","Revisar pago"))</f>
        <v/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8"/>
      <c r="D22" s="8"/>
      <c r="E22" s="21"/>
      <c r="F22" s="32"/>
      <c r="G22" s="8"/>
      <c r="H22" s="34" t="str">
        <f>IF(COUNTA(C22:G22)=0,"",IF(AND(COUNTIF(Creditos!C6:C15,C22)=1,ISNUMBER(D22),D22&gt;=1,D22=INT(D22),D22&lt;=SUMIF(Creditos!C6:C15,C22,Creditos!H6:H15),ISNUMBER(E22),E22&gt;0,ISNUMBER(F22),F22&gt;0),"OK","Revisar pago"))</f>
        <v/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8"/>
      <c r="D23" s="8"/>
      <c r="E23" s="21"/>
      <c r="F23" s="32"/>
      <c r="G23" s="8"/>
      <c r="H23" s="34" t="str">
        <f>IF(COUNTA(C23:G23)=0,"",IF(AND(COUNTIF(Creditos!C6:C15,C23)=1,ISNUMBER(D23),D23&gt;=1,D23=INT(D23),D23&lt;=SUMIF(Creditos!C6:C15,C23,Creditos!H6:H15),ISNUMBER(E23),E23&gt;0,ISNUMBER(F23),F23&gt;0),"OK","Revisar pago"))</f>
        <v/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8"/>
      <c r="D24" s="8"/>
      <c r="E24" s="21"/>
      <c r="F24" s="32"/>
      <c r="G24" s="8"/>
      <c r="H24" s="34" t="str">
        <f>IF(COUNTA(C24:G24)=0,"",IF(AND(COUNTIF(Creditos!C6:C15,C24)=1,ISNUMBER(D24),D24&gt;=1,D24=INT(D24),D24&lt;=SUMIF(Creditos!C6:C15,C24,Creditos!H6:H15),ISNUMBER(E24),E24&gt;0,ISNUMBER(F24),F24&gt;0),"OK","Revisar pago"))</f>
        <v/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8"/>
      <c r="D25" s="8"/>
      <c r="E25" s="21"/>
      <c r="F25" s="32"/>
      <c r="G25" s="8"/>
      <c r="H25" s="34" t="str">
        <f>IF(COUNTA(C25:G25)=0,"",IF(AND(COUNTIF(Creditos!C6:C15,C25)=1,ISNUMBER(D25),D25&gt;=1,D25=INT(D25),D25&lt;=SUMIF(Creditos!C6:C15,C25,Creditos!H6:H15),ISNUMBER(E25),E25&gt;0,ISNUMBER(F25),F25&gt;0),"OK","Revisar pago"))</f>
        <v/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8"/>
      <c r="D26" s="8"/>
      <c r="E26" s="21"/>
      <c r="F26" s="32"/>
      <c r="G26" s="8"/>
      <c r="H26" s="34" t="str">
        <f>IF(COUNTA(C26:G26)=0,"",IF(AND(COUNTIF(Creditos!C6:C15,C26)=1,ISNUMBER(D26),D26&gt;=1,D26=INT(D26),D26&lt;=SUMIF(Creditos!C6:C15,C26,Creditos!H6:H15),ISNUMBER(E26),E26&gt;0,ISNUMBER(F26),F26&gt;0),"OK","Revisar pago"))</f>
        <v/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8"/>
      <c r="D27" s="8"/>
      <c r="E27" s="21"/>
      <c r="F27" s="32"/>
      <c r="G27" s="8"/>
      <c r="H27" s="34" t="str">
        <f>IF(COUNTA(C27:G27)=0,"",IF(AND(COUNTIF(Creditos!C6:C15,C27)=1,ISNUMBER(D27),D27&gt;=1,D27=INT(D27),D27&lt;=SUMIF(Creditos!C6:C15,C27,Creditos!H6:H15),ISNUMBER(E27),E27&gt;0,ISNUMBER(F27),F27&gt;0),"OK","Revisar pago"))</f>
        <v/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8"/>
      <c r="D28" s="8"/>
      <c r="E28" s="21"/>
      <c r="F28" s="32"/>
      <c r="G28" s="8"/>
      <c r="H28" s="34" t="str">
        <f>IF(COUNTA(C28:G28)=0,"",IF(AND(COUNTIF(Creditos!C6:C15,C28)=1,ISNUMBER(D28),D28&gt;=1,D28=INT(D28),D28&lt;=SUMIF(Creditos!C6:C15,C28,Creditos!H6:H15),ISNUMBER(E28),E28&gt;0,ISNUMBER(F28),F28&gt;0),"OK","Revisar pago"))</f>
        <v/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8"/>
      <c r="D29" s="8"/>
      <c r="E29" s="21"/>
      <c r="F29" s="32"/>
      <c r="G29" s="8"/>
      <c r="H29" s="34" t="str">
        <f>IF(COUNTA(C29:G29)=0,"",IF(AND(COUNTIF(Creditos!C6:C15,C29)=1,ISNUMBER(D29),D29&gt;=1,D29=INT(D29),D29&lt;=SUMIF(Creditos!C6:C15,C29,Creditos!H6:H15),ISNUMBER(E29),E29&gt;0,ISNUMBER(F29),F29&gt;0),"OK","Revisar pago"))</f>
        <v/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8"/>
      <c r="D30" s="8"/>
      <c r="E30" s="21"/>
      <c r="F30" s="32"/>
      <c r="G30" s="8"/>
      <c r="H30" s="34" t="str">
        <f>IF(COUNTA(C30:G30)=0,"",IF(AND(COUNTIF(Creditos!C6:C15,C30)=1,ISNUMBER(D30),D30&gt;=1,D30=INT(D30),D30&lt;=SUMIF(Creditos!C6:C15,C30,Creditos!H6:H15),ISNUMBER(E30),E30&gt;0,ISNUMBER(F30),F30&gt;0),"OK","Revisar pago"))</f>
        <v/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8"/>
      <c r="D31" s="8"/>
      <c r="E31" s="21"/>
      <c r="F31" s="32"/>
      <c r="G31" s="8"/>
      <c r="H31" s="34" t="str">
        <f>IF(COUNTA(C31:G31)=0,"",IF(AND(COUNTIF(Creditos!C6:C15,C31)=1,ISNUMBER(D31),D31&gt;=1,D31=INT(D31),D31&lt;=SUMIF(Creditos!C6:C15,C31,Creditos!H6:H15),ISNUMBER(E31),E31&gt;0,ISNUMBER(F31),F31&gt;0),"OK","Revisar pago"))</f>
        <v/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8"/>
      <c r="D32" s="8"/>
      <c r="E32" s="21"/>
      <c r="F32" s="32"/>
      <c r="G32" s="8"/>
      <c r="H32" s="34" t="str">
        <f>IF(COUNTA(C32:G32)=0,"",IF(AND(COUNTIF(Creditos!C6:C15,C32)=1,ISNUMBER(D32),D32&gt;=1,D32=INT(D32),D32&lt;=SUMIF(Creditos!C6:C15,C32,Creditos!H6:H15),ISNUMBER(E32),E32&gt;0,ISNUMBER(F32),F32&gt;0),"OK","Revisar pago"))</f>
        <v/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8"/>
      <c r="D33" s="8"/>
      <c r="E33" s="21"/>
      <c r="F33" s="32"/>
      <c r="G33" s="8"/>
      <c r="H33" s="34" t="str">
        <f>IF(COUNTA(C33:G33)=0,"",IF(AND(COUNTIF(Creditos!C6:C15,C33)=1,ISNUMBER(D33),D33&gt;=1,D33=INT(D33),D33&lt;=SUMIF(Creditos!C6:C15,C33,Creditos!H6:H15),ISNUMBER(E33),E33&gt;0,ISNUMBER(F33),F33&gt;0),"OK","Revisar pago"))</f>
        <v/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8"/>
      <c r="D34" s="8"/>
      <c r="E34" s="21"/>
      <c r="F34" s="32"/>
      <c r="G34" s="8"/>
      <c r="H34" s="34" t="str">
        <f>IF(COUNTA(C34:G34)=0,"",IF(AND(COUNTIF(Creditos!C6:C15,C34)=1,ISNUMBER(D34),D34&gt;=1,D34=INT(D34),D34&lt;=SUMIF(Creditos!C6:C15,C34,Creditos!H6:H15),ISNUMBER(E34),E34&gt;0,ISNUMBER(F34),F34&gt;0),"OK","Revisar pago"))</f>
        <v/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8"/>
      <c r="D35" s="8"/>
      <c r="E35" s="21"/>
      <c r="F35" s="32"/>
      <c r="G35" s="8"/>
      <c r="H35" s="34" t="str">
        <f>IF(COUNTA(C35:G35)=0,"",IF(AND(COUNTIF(Creditos!C6:C15,C35)=1,ISNUMBER(D35),D35&gt;=1,D35=INT(D35),D35&lt;=SUMIF(Creditos!C6:C15,C35,Creditos!H6:H15),ISNUMBER(E35),E35&gt;0,ISNUMBER(F35),F35&gt;0),"OK","Revisar pago"))</f>
        <v/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8"/>
      <c r="D36" s="8"/>
      <c r="E36" s="21"/>
      <c r="F36" s="32"/>
      <c r="G36" s="8"/>
      <c r="H36" s="34" t="str">
        <f>IF(COUNTA(C36:G36)=0,"",IF(AND(COUNTIF(Creditos!C6:C15,C36)=1,ISNUMBER(D36),D36&gt;=1,D36=INT(D36),D36&lt;=SUMIF(Creditos!C6:C15,C36,Creditos!H6:H15),ISNUMBER(E36),E36&gt;0,ISNUMBER(F36),F36&gt;0),"OK","Revisar pago"))</f>
        <v/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8"/>
      <c r="D37" s="8"/>
      <c r="E37" s="21"/>
      <c r="F37" s="32"/>
      <c r="G37" s="8"/>
      <c r="H37" s="34" t="str">
        <f>IF(COUNTA(C37:G37)=0,"",IF(AND(COUNTIF(Creditos!C6:C15,C37)=1,ISNUMBER(D37),D37&gt;=1,D37=INT(D37),D37&lt;=SUMIF(Creditos!C6:C15,C37,Creditos!H6:H15),ISNUMBER(E37),E37&gt;0,ISNUMBER(F37),F37&gt;0),"OK","Revisar pago"))</f>
        <v/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8"/>
      <c r="D38" s="8"/>
      <c r="E38" s="21"/>
      <c r="F38" s="32"/>
      <c r="G38" s="8"/>
      <c r="H38" s="34" t="str">
        <f>IF(COUNTA(C38:G38)=0,"",IF(AND(COUNTIF(Creditos!C6:C15,C38)=1,ISNUMBER(D38),D38&gt;=1,D38=INT(D38),D38&lt;=SUMIF(Creditos!C6:C15,C38,Creditos!H6:H15),ISNUMBER(E38),E38&gt;0,ISNUMBER(F38),F38&gt;0),"OK","Revisar pago"))</f>
        <v/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8"/>
      <c r="D39" s="8"/>
      <c r="E39" s="21"/>
      <c r="F39" s="32"/>
      <c r="G39" s="8"/>
      <c r="H39" s="34" t="str">
        <f>IF(COUNTA(C39:G39)=0,"",IF(AND(COUNTIF(Creditos!C6:C15,C39)=1,ISNUMBER(D39),D39&gt;=1,D39=INT(D39),D39&lt;=SUMIF(Creditos!C6:C15,C39,Creditos!H6:H15),ISNUMBER(E39),E39&gt;0,ISNUMBER(F39),F39&gt;0),"OK","Revisar pago"))</f>
        <v/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8"/>
      <c r="D40" s="8"/>
      <c r="E40" s="21"/>
      <c r="F40" s="32"/>
      <c r="G40" s="8"/>
      <c r="H40" s="34" t="str">
        <f>IF(COUNTA(C40:G40)=0,"",IF(AND(COUNTIF(Creditos!C6:C15,C40)=1,ISNUMBER(D40),D40&gt;=1,D40=INT(D40),D40&lt;=SUMIF(Creditos!C6:C15,C40,Creditos!H6:H15),ISNUMBER(E40),E40&gt;0,ISNUMBER(F40),F40&gt;0),"OK","Revisar pago"))</f>
        <v/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8"/>
      <c r="D41" s="8"/>
      <c r="E41" s="21"/>
      <c r="F41" s="32"/>
      <c r="G41" s="8"/>
      <c r="H41" s="34" t="str">
        <f>IF(COUNTA(C41:G41)=0,"",IF(AND(COUNTIF(Creditos!C6:C15,C41)=1,ISNUMBER(D41),D41&gt;=1,D41=INT(D41),D41&lt;=SUMIF(Creditos!C6:C15,C41,Creditos!H6:H15),ISNUMBER(E41),E41&gt;0,ISNUMBER(F41),F41&gt;0),"OK","Revisar pago"))</f>
        <v/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8"/>
      <c r="D42" s="8"/>
      <c r="E42" s="21"/>
      <c r="F42" s="32"/>
      <c r="G42" s="8"/>
      <c r="H42" s="34" t="str">
        <f>IF(COUNTA(C42:G42)=0,"",IF(AND(COUNTIF(Creditos!C6:C15,C42)=1,ISNUMBER(D42),D42&gt;=1,D42=INT(D42),D42&lt;=SUMIF(Creditos!C6:C15,C42,Creditos!H6:H15),ISNUMBER(E42),E42&gt;0,ISNUMBER(F42),F42&gt;0),"OK","Revisar pago"))</f>
        <v/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8"/>
      <c r="D43" s="8"/>
      <c r="E43" s="21"/>
      <c r="F43" s="32"/>
      <c r="G43" s="8"/>
      <c r="H43" s="34" t="str">
        <f>IF(COUNTA(C43:G43)=0,"",IF(AND(COUNTIF(Creditos!C6:C15,C43)=1,ISNUMBER(D43),D43&gt;=1,D43=INT(D43),D43&lt;=SUMIF(Creditos!C6:C15,C43,Creditos!H6:H15),ISNUMBER(E43),E43&gt;0,ISNUMBER(F43),F43&gt;0),"OK","Revisar pago"))</f>
        <v/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8"/>
      <c r="D44" s="8"/>
      <c r="E44" s="21"/>
      <c r="F44" s="32"/>
      <c r="G44" s="8"/>
      <c r="H44" s="34" t="str">
        <f>IF(COUNTA(C44:G44)=0,"",IF(AND(COUNTIF(Creditos!C6:C15,C44)=1,ISNUMBER(D44),D44&gt;=1,D44=INT(D44),D44&lt;=SUMIF(Creditos!C6:C15,C44,Creditos!H6:H15),ISNUMBER(E44),E44&gt;0,ISNUMBER(F44),F44&gt;0),"OK","Revisar pago"))</f>
        <v/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8"/>
      <c r="D45" s="8"/>
      <c r="E45" s="21"/>
      <c r="F45" s="32"/>
      <c r="G45" s="8"/>
      <c r="H45" s="34" t="str">
        <f>IF(COUNTA(C45:G45)=0,"",IF(AND(COUNTIF(Creditos!C6:C15,C45)=1,ISNUMBER(D45),D45&gt;=1,D45=INT(D45),D45&lt;=SUMIF(Creditos!C6:C15,C45,Creditos!H6:H15),ISNUMBER(E45),E45&gt;0,ISNUMBER(F45),F45&gt;0),"OK","Revisar pago"))</f>
        <v/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8"/>
      <c r="D46" s="8"/>
      <c r="E46" s="21"/>
      <c r="F46" s="32"/>
      <c r="G46" s="8"/>
      <c r="H46" s="34" t="str">
        <f>IF(COUNTA(C46:G46)=0,"",IF(AND(COUNTIF(Creditos!C6:C15,C46)=1,ISNUMBER(D46),D46&gt;=1,D46=INT(D46),D46&lt;=SUMIF(Creditos!C6:C15,C46,Creditos!H6:H15),ISNUMBER(E46),E46&gt;0,ISNUMBER(F46),F46&gt;0),"OK","Revisar pago"))</f>
        <v/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8"/>
      <c r="D47" s="8"/>
      <c r="E47" s="21"/>
      <c r="F47" s="32"/>
      <c r="G47" s="8"/>
      <c r="H47" s="34" t="str">
        <f>IF(COUNTA(C47:G47)=0,"",IF(AND(COUNTIF(Creditos!C6:C15,C47)=1,ISNUMBER(D47),D47&gt;=1,D47=INT(D47),D47&lt;=SUMIF(Creditos!C6:C15,C47,Creditos!H6:H15),ISNUMBER(E47),E47&gt;0,ISNUMBER(F47),F47&gt;0),"OK","Revisar pago"))</f>
        <v/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8"/>
      <c r="D48" s="8"/>
      <c r="E48" s="21"/>
      <c r="F48" s="32"/>
      <c r="G48" s="8"/>
      <c r="H48" s="34" t="str">
        <f>IF(COUNTA(C48:G48)=0,"",IF(AND(COUNTIF(Creditos!C6:C15,C48)=1,ISNUMBER(D48),D48&gt;=1,D48=INT(D48),D48&lt;=SUMIF(Creditos!C6:C15,C48,Creditos!H6:H15),ISNUMBER(E48),E48&gt;0,ISNUMBER(F48),F48&gt;0),"OK","Revisar pago"))</f>
        <v/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8"/>
      <c r="D49" s="8"/>
      <c r="E49" s="21"/>
      <c r="F49" s="32"/>
      <c r="G49" s="8"/>
      <c r="H49" s="34" t="str">
        <f>IF(COUNTA(C49:G49)=0,"",IF(AND(COUNTIF(Creditos!C6:C15,C49)=1,ISNUMBER(D49),D49&gt;=1,D49=INT(D49),D49&lt;=SUMIF(Creditos!C6:C15,C49,Creditos!H6:H15),ISNUMBER(E49),E49&gt;0,ISNUMBER(F49),F49&gt;0),"OK","Revisar pago"))</f>
        <v/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8"/>
      <c r="D50" s="8"/>
      <c r="E50" s="21"/>
      <c r="F50" s="32"/>
      <c r="G50" s="8"/>
      <c r="H50" s="34" t="str">
        <f>IF(COUNTA(C50:G50)=0,"",IF(AND(COUNTIF(Creditos!C6:C15,C50)=1,ISNUMBER(D50),D50&gt;=1,D50=INT(D50),D50&lt;=SUMIF(Creditos!C6:C15,C50,Creditos!H6:H15),ISNUMBER(E50),E50&gt;0,ISNUMBER(F50),F50&gt;0),"OK","Revisar pago"))</f>
        <v/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8"/>
      <c r="D51" s="8"/>
      <c r="E51" s="21"/>
      <c r="F51" s="32"/>
      <c r="G51" s="8"/>
      <c r="H51" s="34" t="str">
        <f>IF(COUNTA(C51:G51)=0,"",IF(AND(COUNTIF(Creditos!C6:C15,C51)=1,ISNUMBER(D51),D51&gt;=1,D51=INT(D51),D51&lt;=SUMIF(Creditos!C6:C15,C51,Creditos!H6:H15),ISNUMBER(E51),E51&gt;0,ISNUMBER(F51),F51&gt;0),"OK","Revisar pago"))</f>
        <v/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8"/>
      <c r="D52" s="8"/>
      <c r="E52" s="21"/>
      <c r="F52" s="32"/>
      <c r="G52" s="8"/>
      <c r="H52" s="34" t="str">
        <f>IF(COUNTA(C52:G52)=0,"",IF(AND(COUNTIF(Creditos!C6:C15,C52)=1,ISNUMBER(D52),D52&gt;=1,D52=INT(D52),D52&lt;=SUMIF(Creditos!C6:C15,C52,Creditos!H6:H15),ISNUMBER(E52),E52&gt;0,ISNUMBER(F52),F52&gt;0),"OK","Revisar pago"))</f>
        <v/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8"/>
      <c r="D53" s="8"/>
      <c r="E53" s="21"/>
      <c r="F53" s="32"/>
      <c r="G53" s="8"/>
      <c r="H53" s="34" t="str">
        <f>IF(COUNTA(C53:G53)=0,"",IF(AND(COUNTIF(Creditos!C6:C15,C53)=1,ISNUMBER(D53),D53&gt;=1,D53=INT(D53),D53&lt;=SUMIF(Creditos!C6:C15,C53,Creditos!H6:H15),ISNUMBER(E53),E53&gt;0,ISNUMBER(F53),F53&gt;0),"OK","Revisar pago"))</f>
        <v/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8"/>
      <c r="D54" s="8"/>
      <c r="E54" s="21"/>
      <c r="F54" s="32"/>
      <c r="G54" s="8"/>
      <c r="H54" s="34" t="str">
        <f>IF(COUNTA(C54:G54)=0,"",IF(AND(COUNTIF(Creditos!C6:C15,C54)=1,ISNUMBER(D54),D54&gt;=1,D54=INT(D54),D54&lt;=SUMIF(Creditos!C6:C15,C54,Creditos!H6:H15),ISNUMBER(E54),E54&gt;0,ISNUMBER(F54),F54&gt;0),"OK","Revisar pago"))</f>
        <v/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8"/>
      <c r="D55" s="8"/>
      <c r="E55" s="21"/>
      <c r="F55" s="32"/>
      <c r="G55" s="8"/>
      <c r="H55" s="34" t="str">
        <f>IF(COUNTA(C55:G55)=0,"",IF(AND(COUNTIF(Creditos!C6:C15,C55)=1,ISNUMBER(D55),D55&gt;=1,D55=INT(D55),D55&lt;=SUMIF(Creditos!C6:C15,C55,Creditos!H6:H15),ISNUMBER(E55),E55&gt;0,ISNUMBER(F55),F55&gt;0),"OK","Revisar pago"))</f>
        <v/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8"/>
      <c r="D56" s="8"/>
      <c r="E56" s="21"/>
      <c r="F56" s="32"/>
      <c r="G56" s="8"/>
      <c r="H56" s="34" t="str">
        <f>IF(COUNTA(C56:G56)=0,"",IF(AND(COUNTIF(Creditos!C6:C15,C56)=1,ISNUMBER(D56),D56&gt;=1,D56=INT(D56),D56&lt;=SUMIF(Creditos!C6:C15,C56,Creditos!H6:H15),ISNUMBER(E56),E56&gt;0,ISNUMBER(F56),F56&gt;0),"OK","Revisar pago"))</f>
        <v/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8"/>
      <c r="D57" s="8"/>
      <c r="E57" s="21"/>
      <c r="F57" s="32"/>
      <c r="G57" s="8"/>
      <c r="H57" s="34" t="str">
        <f>IF(COUNTA(C57:G57)=0,"",IF(AND(COUNTIF(Creditos!C6:C15,C57)=1,ISNUMBER(D57),D57&gt;=1,D57=INT(D57),D57&lt;=SUMIF(Creditos!C6:C15,C57,Creditos!H6:H15),ISNUMBER(E57),E57&gt;0,ISNUMBER(F57),F57&gt;0),"OK","Revisar pago"))</f>
        <v/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8"/>
      <c r="D58" s="8"/>
      <c r="E58" s="21"/>
      <c r="F58" s="32"/>
      <c r="G58" s="8"/>
      <c r="H58" s="34" t="str">
        <f>IF(COUNTA(C58:G58)=0,"",IF(AND(COUNTIF(Creditos!C6:C15,C58)=1,ISNUMBER(D58),D58&gt;=1,D58=INT(D58),D58&lt;=SUMIF(Creditos!C6:C15,C58,Creditos!H6:H15),ISNUMBER(E58),E58&gt;0,ISNUMBER(F58),F58&gt;0),"OK","Revisar pago"))</f>
        <v/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8"/>
      <c r="D59" s="8"/>
      <c r="E59" s="21"/>
      <c r="F59" s="32"/>
      <c r="G59" s="8"/>
      <c r="H59" s="34" t="str">
        <f>IF(COUNTA(C59:G59)=0,"",IF(AND(COUNTIF(Creditos!C6:C15,C59)=1,ISNUMBER(D59),D59&gt;=1,D59=INT(D59),D59&lt;=SUMIF(Creditos!C6:C15,C59,Creditos!H6:H15),ISNUMBER(E59),E59&gt;0,ISNUMBER(F59),F59&gt;0),"OK","Revisar pago"))</f>
        <v/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8"/>
      <c r="D60" s="8"/>
      <c r="E60" s="21"/>
      <c r="F60" s="32"/>
      <c r="G60" s="8"/>
      <c r="H60" s="34" t="str">
        <f>IF(COUNTA(C60:G60)=0,"",IF(AND(COUNTIF(Creditos!C6:C15,C60)=1,ISNUMBER(D60),D60&gt;=1,D60=INT(D60),D60&lt;=SUMIF(Creditos!C6:C15,C60,Creditos!H6:H15),ISNUMBER(E60),E60&gt;0,ISNUMBER(F60),F60&gt;0),"OK","Revisar pago"))</f>
        <v/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8"/>
      <c r="D61" s="8"/>
      <c r="E61" s="21"/>
      <c r="F61" s="32"/>
      <c r="G61" s="8"/>
      <c r="H61" s="34" t="str">
        <f>IF(COUNTA(C61:G61)=0,"",IF(AND(COUNTIF(Creditos!C6:C15,C61)=1,ISNUMBER(D61),D61&gt;=1,D61=INT(D61),D61&lt;=SUMIF(Creditos!C6:C15,C61,Creditos!H6:H15),ISNUMBER(E61),E61&gt;0,ISNUMBER(F61),F61&gt;0),"OK","Revisar pago"))</f>
        <v/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8"/>
      <c r="D62" s="8"/>
      <c r="E62" s="21"/>
      <c r="F62" s="32"/>
      <c r="G62" s="8"/>
      <c r="H62" s="34" t="str">
        <f>IF(COUNTA(C62:G62)=0,"",IF(AND(COUNTIF(Creditos!C6:C15,C62)=1,ISNUMBER(D62),D62&gt;=1,D62=INT(D62),D62&lt;=SUMIF(Creditos!C6:C15,C62,Creditos!H6:H15),ISNUMBER(E62),E62&gt;0,ISNUMBER(F62),F62&gt;0),"OK","Revisar pago"))</f>
        <v/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8"/>
      <c r="D63" s="8"/>
      <c r="E63" s="21"/>
      <c r="F63" s="32"/>
      <c r="G63" s="8"/>
      <c r="H63" s="34" t="str">
        <f>IF(COUNTA(C63:G63)=0,"",IF(AND(COUNTIF(Creditos!C6:C15,C63)=1,ISNUMBER(D63),D63&gt;=1,D63=INT(D63),D63&lt;=SUMIF(Creditos!C6:C15,C63,Creditos!H6:H15),ISNUMBER(E63),E63&gt;0,ISNUMBER(F63),F63&gt;0),"OK","Revisar pago"))</f>
        <v/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8"/>
      <c r="D64" s="8"/>
      <c r="E64" s="21"/>
      <c r="F64" s="32"/>
      <c r="G64" s="8"/>
      <c r="H64" s="34" t="str">
        <f>IF(COUNTA(C64:G64)=0,"",IF(AND(COUNTIF(Creditos!C6:C15,C64)=1,ISNUMBER(D64),D64&gt;=1,D64=INT(D64),D64&lt;=SUMIF(Creditos!C6:C15,C64,Creditos!H6:H15),ISNUMBER(E64),E64&gt;0,ISNUMBER(F64),F64&gt;0),"OK","Revisar pago"))</f>
        <v/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8"/>
      <c r="D65" s="8"/>
      <c r="E65" s="21"/>
      <c r="F65" s="32"/>
      <c r="G65" s="8"/>
      <c r="H65" s="34" t="str">
        <f>IF(COUNTA(C65:G65)=0,"",IF(AND(COUNTIF(Creditos!C6:C15,C65)=1,ISNUMBER(D65),D65&gt;=1,D65=INT(D65),D65&lt;=SUMIF(Creditos!C6:C15,C65,Creditos!H6:H15),ISNUMBER(E65),E65&gt;0,ISNUMBER(F65),F65&gt;0),"OK","Revisar pago"))</f>
        <v/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8"/>
      <c r="D66" s="8"/>
      <c r="E66" s="21"/>
      <c r="F66" s="32"/>
      <c r="G66" s="8"/>
      <c r="H66" s="34" t="str">
        <f>IF(COUNTA(C66:G66)=0,"",IF(AND(COUNTIF(Creditos!C6:C15,C66)=1,ISNUMBER(D66),D66&gt;=1,D66=INT(D66),D66&lt;=SUMIF(Creditos!C6:C15,C66,Creditos!H6:H15),ISNUMBER(E66),E66&gt;0,ISNUMBER(F66),F66&gt;0),"OK","Revisar pago"))</f>
        <v/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8"/>
      <c r="D67" s="8"/>
      <c r="E67" s="21"/>
      <c r="F67" s="32"/>
      <c r="G67" s="8"/>
      <c r="H67" s="34" t="str">
        <f>IF(COUNTA(C67:G67)=0,"",IF(AND(COUNTIF(Creditos!C6:C15,C67)=1,ISNUMBER(D67),D67&gt;=1,D67=INT(D67),D67&lt;=SUMIF(Creditos!C6:C15,C67,Creditos!H6:H15),ISNUMBER(E67),E67&gt;0,ISNUMBER(F67),F67&gt;0),"OK","Revisar pago"))</f>
        <v/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8"/>
      <c r="D68" s="8"/>
      <c r="E68" s="21"/>
      <c r="F68" s="32"/>
      <c r="G68" s="8"/>
      <c r="H68" s="34" t="str">
        <f>IF(COUNTA(C68:G68)=0,"",IF(AND(COUNTIF(Creditos!C6:C15,C68)=1,ISNUMBER(D68),D68&gt;=1,D68=INT(D68),D68&lt;=SUMIF(Creditos!C6:C15,C68,Creditos!H6:H15),ISNUMBER(E68),E68&gt;0,ISNUMBER(F68),F68&gt;0),"OK","Revisar pago"))</f>
        <v/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8"/>
      <c r="D69" s="8"/>
      <c r="E69" s="21"/>
      <c r="F69" s="32"/>
      <c r="G69" s="8"/>
      <c r="H69" s="34" t="str">
        <f>IF(COUNTA(C69:G69)=0,"",IF(AND(COUNTIF(Creditos!C6:C15,C69)=1,ISNUMBER(D69),D69&gt;=1,D69=INT(D69),D69&lt;=SUMIF(Creditos!C6:C15,C69,Creditos!H6:H15),ISNUMBER(E69),E69&gt;0,ISNUMBER(F69),F69&gt;0),"OK","Revisar pago"))</f>
        <v/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8"/>
      <c r="D70" s="8"/>
      <c r="E70" s="21"/>
      <c r="F70" s="32"/>
      <c r="G70" s="8"/>
      <c r="H70" s="34" t="str">
        <f>IF(COUNTA(C70:G70)=0,"",IF(AND(COUNTIF(Creditos!C6:C15,C70)=1,ISNUMBER(D70),D70&gt;=1,D70=INT(D70),D70&lt;=SUMIF(Creditos!C6:C15,C70,Creditos!H6:H15),ISNUMBER(E70),E70&gt;0,ISNUMBER(F70),F70&gt;0),"OK","Revisar pago"))</f>
        <v/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8"/>
      <c r="D71" s="8"/>
      <c r="E71" s="21"/>
      <c r="F71" s="32"/>
      <c r="G71" s="8"/>
      <c r="H71" s="34" t="str">
        <f>IF(COUNTA(C71:G71)=0,"",IF(AND(COUNTIF(Creditos!C6:C15,C71)=1,ISNUMBER(D71),D71&gt;=1,D71=INT(D71),D71&lt;=SUMIF(Creditos!C6:C15,C71,Creditos!H6:H15),ISNUMBER(E71),E71&gt;0,ISNUMBER(F71),F71&gt;0),"OK","Revisar pago"))</f>
        <v/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8"/>
      <c r="D72" s="8"/>
      <c r="E72" s="21"/>
      <c r="F72" s="32"/>
      <c r="G72" s="8"/>
      <c r="H72" s="34" t="str">
        <f>IF(COUNTA(C72:G72)=0,"",IF(AND(COUNTIF(Creditos!C6:C15,C72)=1,ISNUMBER(D72),D72&gt;=1,D72=INT(D72),D72&lt;=SUMIF(Creditos!C6:C15,C72,Creditos!H6:H15),ISNUMBER(E72),E72&gt;0,ISNUMBER(F72),F72&gt;0),"OK","Revisar pago"))</f>
        <v/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8"/>
      <c r="D73" s="8"/>
      <c r="E73" s="21"/>
      <c r="F73" s="32"/>
      <c r="G73" s="8"/>
      <c r="H73" s="34" t="str">
        <f>IF(COUNTA(C73:G73)=0,"",IF(AND(COUNTIF(Creditos!C6:C15,C73)=1,ISNUMBER(D73),D73&gt;=1,D73=INT(D73),D73&lt;=SUMIF(Creditos!C6:C15,C73,Creditos!H6:H15),ISNUMBER(E73),E73&gt;0,ISNUMBER(F73),F73&gt;0),"OK","Revisar pago"))</f>
        <v/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8"/>
      <c r="D74" s="8"/>
      <c r="E74" s="21"/>
      <c r="F74" s="32"/>
      <c r="G74" s="8"/>
      <c r="H74" s="34" t="str">
        <f>IF(COUNTA(C74:G74)=0,"",IF(AND(COUNTIF(Creditos!C6:C15,C74)=1,ISNUMBER(D74),D74&gt;=1,D74=INT(D74),D74&lt;=SUMIF(Creditos!C6:C15,C74,Creditos!H6:H15),ISNUMBER(E74),E74&gt;0,ISNUMBER(F74),F74&gt;0),"OK","Revisar pago"))</f>
        <v/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8"/>
      <c r="D75" s="8"/>
      <c r="E75" s="21"/>
      <c r="F75" s="32"/>
      <c r="G75" s="8"/>
      <c r="H75" s="34" t="str">
        <f>IF(COUNTA(C75:G75)=0,"",IF(AND(COUNTIF(Creditos!C6:C15,C75)=1,ISNUMBER(D75),D75&gt;=1,D75=INT(D75),D75&lt;=SUMIF(Creditos!C6:C15,C75,Creditos!H6:H15),ISNUMBER(E75),E75&gt;0,ISNUMBER(F75),F75&gt;0),"OK","Revisar pago"))</f>
        <v/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8"/>
      <c r="D76" s="8"/>
      <c r="E76" s="21"/>
      <c r="F76" s="32"/>
      <c r="G76" s="8"/>
      <c r="H76" s="34" t="str">
        <f>IF(COUNTA(C76:G76)=0,"",IF(AND(COUNTIF(Creditos!C6:C15,C76)=1,ISNUMBER(D76),D76&gt;=1,D76=INT(D76),D76&lt;=SUMIF(Creditos!C6:C15,C76,Creditos!H6:H15),ISNUMBER(E76),E76&gt;0,ISNUMBER(F76),F76&gt;0),"OK","Revisar pago"))</f>
        <v/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8"/>
      <c r="D77" s="8"/>
      <c r="E77" s="21"/>
      <c r="F77" s="32"/>
      <c r="G77" s="8"/>
      <c r="H77" s="34" t="str">
        <f>IF(COUNTA(C77:G77)=0,"",IF(AND(COUNTIF(Creditos!C6:C15,C77)=1,ISNUMBER(D77),D77&gt;=1,D77=INT(D77),D77&lt;=SUMIF(Creditos!C6:C15,C77,Creditos!H6:H15),ISNUMBER(E77),E77&gt;0,ISNUMBER(F77),F77&gt;0),"OK","Revisar pago"))</f>
        <v/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8"/>
      <c r="D78" s="8"/>
      <c r="E78" s="21"/>
      <c r="F78" s="32"/>
      <c r="G78" s="8"/>
      <c r="H78" s="34" t="str">
        <f>IF(COUNTA(C78:G78)=0,"",IF(AND(COUNTIF(Creditos!C6:C15,C78)=1,ISNUMBER(D78),D78&gt;=1,D78=INT(D78),D78&lt;=SUMIF(Creditos!C6:C15,C78,Creditos!H6:H15),ISNUMBER(E78),E78&gt;0,ISNUMBER(F78),F78&gt;0),"OK","Revisar pago"))</f>
        <v/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8"/>
      <c r="D79" s="8"/>
      <c r="E79" s="21"/>
      <c r="F79" s="32"/>
      <c r="G79" s="8"/>
      <c r="H79" s="34" t="str">
        <f>IF(COUNTA(C79:G79)=0,"",IF(AND(COUNTIF(Creditos!C6:C15,C79)=1,ISNUMBER(D79),D79&gt;=1,D79=INT(D79),D79&lt;=SUMIF(Creditos!C6:C15,C79,Creditos!H6:H15),ISNUMBER(E79),E79&gt;0,ISNUMBER(F79),F79&gt;0),"OK","Revisar pago"))</f>
        <v/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8"/>
      <c r="D80" s="8"/>
      <c r="E80" s="21"/>
      <c r="F80" s="32"/>
      <c r="G80" s="8"/>
      <c r="H80" s="34" t="str">
        <f>IF(COUNTA(C80:G80)=0,"",IF(AND(COUNTIF(Creditos!C6:C15,C80)=1,ISNUMBER(D80),D80&gt;=1,D80=INT(D80),D80&lt;=SUMIF(Creditos!C6:C15,C80,Creditos!H6:H15),ISNUMBER(E80),E80&gt;0,ISNUMBER(F80),F80&gt;0),"OK","Revisar pago"))</f>
        <v/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>
      <c r="C81" s="42"/>
      <c r="D81" s="42"/>
      <c r="E81" s="43"/>
      <c r="F81" s="44"/>
      <c r="G81" s="42"/>
      <c r="H81" s="45" t="str">
        <f>IF(COUNTA(C81:G81)=0,"",IF(AND(COUNTIF(Creditos!C6:C15,C81)=1,ISNUMBER(D81),D81&gt;=1,D81=INT(D81),D81&lt;=SUMIF(Creditos!C6:C15,C81,Creditos!H6:H15),ISNUMBER(E81),E81&gt;0,ISNUMBER(F81),F81&gt;0),"OK","Revisar pago"))</f>
        <v/>
      </c>
    </row>
    <row r="82" ht="15.75" customHeight="1">
      <c r="C82" s="42"/>
      <c r="D82" s="42"/>
      <c r="E82" s="43"/>
      <c r="F82" s="44"/>
      <c r="G82" s="42"/>
      <c r="H82" s="45" t="str">
        <f>IF(COUNTA(C82:G82)=0,"",IF(AND(COUNTIF(Creditos!C6:C15,C82)=1,ISNUMBER(D82),D82&gt;=1,D82=INT(D82),D82&lt;=SUMIF(Creditos!C6:C15,C82,Creditos!H6:H15),ISNUMBER(E82),E82&gt;0,ISNUMBER(F82),F82&gt;0),"OK","Revisar pago"))</f>
        <v/>
      </c>
    </row>
    <row r="83" ht="15.75" customHeight="1">
      <c r="C83" s="42"/>
      <c r="D83" s="42"/>
      <c r="E83" s="43"/>
      <c r="F83" s="44"/>
      <c r="G83" s="42"/>
      <c r="H83" s="45" t="str">
        <f>IF(COUNTA(C83:G83)=0,"",IF(AND(COUNTIF(Creditos!C6:C15,C83)=1,ISNUMBER(D83),D83&gt;=1,D83=INT(D83),D83&lt;=SUMIF(Creditos!C6:C15,C83,Creditos!H6:H15),ISNUMBER(E83),E83&gt;0,ISNUMBER(F83),F83&gt;0),"OK","Revisar pago"))</f>
        <v/>
      </c>
    </row>
    <row r="84" ht="15.75" customHeight="1">
      <c r="C84" s="42"/>
      <c r="D84" s="42"/>
      <c r="E84" s="43"/>
      <c r="F84" s="44"/>
      <c r="G84" s="42"/>
      <c r="H84" s="45" t="str">
        <f>IF(COUNTA(C84:G84)=0,"",IF(AND(COUNTIF(Creditos!C6:C15,C84)=1,ISNUMBER(D84),D84&gt;=1,D84=INT(D84),D84&lt;=SUMIF(Creditos!C6:C15,C84,Creditos!H6:H15),ISNUMBER(E84),E84&gt;0,ISNUMBER(F84),F84&gt;0),"OK","Revisar pago"))</f>
        <v/>
      </c>
    </row>
    <row r="85" ht="15.75" customHeight="1">
      <c r="C85" s="42"/>
      <c r="D85" s="42"/>
      <c r="E85" s="43"/>
      <c r="F85" s="44"/>
      <c r="G85" s="42"/>
      <c r="H85" s="45" t="str">
        <f>IF(COUNTA(C85:G85)=0,"",IF(AND(COUNTIF(Creditos!C6:C15,C85)=1,ISNUMBER(D85),D85&gt;=1,D85=INT(D85),D85&lt;=SUMIF(Creditos!C6:C15,C85,Creditos!H6:H15),ISNUMBER(E85),E85&gt;0,ISNUMBER(F85),F85&gt;0),"OK","Revisar pago"))</f>
        <v/>
      </c>
    </row>
    <row r="86" ht="15.75" customHeight="1">
      <c r="C86" s="42"/>
      <c r="D86" s="42"/>
      <c r="E86" s="43"/>
      <c r="F86" s="44"/>
      <c r="G86" s="42"/>
      <c r="H86" s="45" t="str">
        <f>IF(COUNTA(C86:G86)=0,"",IF(AND(COUNTIF(Creditos!C6:C15,C86)=1,ISNUMBER(D86),D86&gt;=1,D86=INT(D86),D86&lt;=SUMIF(Creditos!C6:C15,C86,Creditos!H6:H15),ISNUMBER(E86),E86&gt;0,ISNUMBER(F86),F86&gt;0),"OK","Revisar pago"))</f>
        <v/>
      </c>
    </row>
    <row r="87" ht="15.75" customHeight="1">
      <c r="C87" s="42"/>
      <c r="D87" s="42"/>
      <c r="E87" s="43"/>
      <c r="F87" s="44"/>
      <c r="G87" s="42"/>
      <c r="H87" s="45" t="str">
        <f>IF(COUNTA(C87:G87)=0,"",IF(AND(COUNTIF(Creditos!C6:C15,C87)=1,ISNUMBER(D87),D87&gt;=1,D87=INT(D87),D87&lt;=SUMIF(Creditos!C6:C15,C87,Creditos!H6:H15),ISNUMBER(E87),E87&gt;0,ISNUMBER(F87),F87&gt;0),"OK","Revisar pago"))</f>
        <v/>
      </c>
    </row>
    <row r="88" ht="15.75" customHeight="1">
      <c r="C88" s="42"/>
      <c r="D88" s="42"/>
      <c r="E88" s="43"/>
      <c r="F88" s="44"/>
      <c r="G88" s="42"/>
      <c r="H88" s="45" t="str">
        <f>IF(COUNTA(C88:G88)=0,"",IF(AND(COUNTIF(Creditos!C6:C15,C88)=1,ISNUMBER(D88),D88&gt;=1,D88=INT(D88),D88&lt;=SUMIF(Creditos!C6:C15,C88,Creditos!H6:H15),ISNUMBER(E88),E88&gt;0,ISNUMBER(F88),F88&gt;0),"OK","Revisar pago"))</f>
        <v/>
      </c>
    </row>
    <row r="89" ht="15.75" customHeight="1">
      <c r="C89" s="42"/>
      <c r="D89" s="42"/>
      <c r="E89" s="43"/>
      <c r="F89" s="44"/>
      <c r="G89" s="42"/>
      <c r="H89" s="45" t="str">
        <f>IF(COUNTA(C89:G89)=0,"",IF(AND(COUNTIF(Creditos!C6:C15,C89)=1,ISNUMBER(D89),D89&gt;=1,D89=INT(D89),D89&lt;=SUMIF(Creditos!C6:C15,C89,Creditos!H6:H15),ISNUMBER(E89),E89&gt;0,ISNUMBER(F89),F89&gt;0),"OK","Revisar pago"))</f>
        <v/>
      </c>
    </row>
    <row r="90" ht="15.75" customHeight="1">
      <c r="C90" s="42"/>
      <c r="D90" s="42"/>
      <c r="E90" s="43"/>
      <c r="F90" s="44"/>
      <c r="G90" s="42"/>
      <c r="H90" s="45" t="str">
        <f>IF(COUNTA(C90:G90)=0,"",IF(AND(COUNTIF(Creditos!C6:C15,C90)=1,ISNUMBER(D90),D90&gt;=1,D90=INT(D90),D90&lt;=SUMIF(Creditos!C6:C15,C90,Creditos!H6:H15),ISNUMBER(E90),E90&gt;0,ISNUMBER(F90),F90&gt;0),"OK","Revisar pago"))</f>
        <v/>
      </c>
    </row>
    <row r="91" ht="15.75" customHeight="1">
      <c r="C91" s="42"/>
      <c r="D91" s="42"/>
      <c r="E91" s="43"/>
      <c r="F91" s="44"/>
      <c r="G91" s="42"/>
      <c r="H91" s="45" t="str">
        <f>IF(COUNTA(C91:G91)=0,"",IF(AND(COUNTIF(Creditos!C6:C15,C91)=1,ISNUMBER(D91),D91&gt;=1,D91=INT(D91),D91&lt;=SUMIF(Creditos!C6:C15,C91,Creditos!H6:H15),ISNUMBER(E91),E91&gt;0,ISNUMBER(F91),F91&gt;0),"OK","Revisar pago"))</f>
        <v/>
      </c>
    </row>
    <row r="92" ht="15.75" customHeight="1">
      <c r="C92" s="42"/>
      <c r="D92" s="42"/>
      <c r="E92" s="43"/>
      <c r="F92" s="44"/>
      <c r="G92" s="42"/>
      <c r="H92" s="45" t="str">
        <f>IF(COUNTA(C92:G92)=0,"",IF(AND(COUNTIF(Creditos!C6:C15,C92)=1,ISNUMBER(D92),D92&gt;=1,D92=INT(D92),D92&lt;=SUMIF(Creditos!C6:C15,C92,Creditos!H6:H15),ISNUMBER(E92),E92&gt;0,ISNUMBER(F92),F92&gt;0),"OK","Revisar pago"))</f>
        <v/>
      </c>
    </row>
    <row r="93" ht="15.75" customHeight="1">
      <c r="C93" s="42"/>
      <c r="D93" s="42"/>
      <c r="E93" s="43"/>
      <c r="F93" s="44"/>
      <c r="G93" s="42"/>
      <c r="H93" s="45" t="str">
        <f>IF(COUNTA(C93:G93)=0,"",IF(AND(COUNTIF(Creditos!C6:C15,C93)=1,ISNUMBER(D93),D93&gt;=1,D93=INT(D93),D93&lt;=SUMIF(Creditos!C6:C15,C93,Creditos!H6:H15),ISNUMBER(E93),E93&gt;0,ISNUMBER(F93),F93&gt;0),"OK","Revisar pago"))</f>
        <v/>
      </c>
    </row>
    <row r="94" ht="15.75" customHeight="1">
      <c r="C94" s="42"/>
      <c r="D94" s="42"/>
      <c r="E94" s="43"/>
      <c r="F94" s="44"/>
      <c r="G94" s="42"/>
      <c r="H94" s="45" t="str">
        <f>IF(COUNTA(C94:G94)=0,"",IF(AND(COUNTIF(Creditos!C6:C15,C94)=1,ISNUMBER(D94),D94&gt;=1,D94=INT(D94),D94&lt;=SUMIF(Creditos!C6:C15,C94,Creditos!H6:H15),ISNUMBER(E94),E94&gt;0,ISNUMBER(F94),F94&gt;0),"OK","Revisar pago"))</f>
        <v/>
      </c>
    </row>
    <row r="95" ht="15.75" customHeight="1">
      <c r="C95" s="42"/>
      <c r="D95" s="42"/>
      <c r="E95" s="43"/>
      <c r="F95" s="44"/>
      <c r="G95" s="42"/>
      <c r="H95" s="45" t="str">
        <f>IF(COUNTA(C95:G95)=0,"",IF(AND(COUNTIF(Creditos!C6:C15,C95)=1,ISNUMBER(D95),D95&gt;=1,D95=INT(D95),D95&lt;=SUMIF(Creditos!C6:C15,C95,Creditos!H6:H15),ISNUMBER(E95),E95&gt;0,ISNUMBER(F95),F95&gt;0),"OK","Revisar pago"))</f>
        <v/>
      </c>
    </row>
    <row r="96" ht="15.75" customHeight="1">
      <c r="C96" s="42"/>
      <c r="D96" s="42"/>
      <c r="E96" s="43"/>
      <c r="F96" s="44"/>
      <c r="G96" s="42"/>
      <c r="H96" s="45" t="str">
        <f>IF(COUNTA(C96:G96)=0,"",IF(AND(COUNTIF(Creditos!C6:C15,C96)=1,ISNUMBER(D96),D96&gt;=1,D96=INT(D96),D96&lt;=SUMIF(Creditos!C6:C15,C96,Creditos!H6:H15),ISNUMBER(E96),E96&gt;0,ISNUMBER(F96),F96&gt;0),"OK","Revisar pago"))</f>
        <v/>
      </c>
    </row>
    <row r="97" ht="15.75" customHeight="1">
      <c r="C97" s="42"/>
      <c r="D97" s="42"/>
      <c r="E97" s="43"/>
      <c r="F97" s="44"/>
      <c r="G97" s="42"/>
      <c r="H97" s="45" t="str">
        <f>IF(COUNTA(C97:G97)=0,"",IF(AND(COUNTIF(Creditos!C6:C15,C97)=1,ISNUMBER(D97),D97&gt;=1,D97=INT(D97),D97&lt;=SUMIF(Creditos!C6:C15,C97,Creditos!H6:H15),ISNUMBER(E97),E97&gt;0,ISNUMBER(F97),F97&gt;0),"OK","Revisar pago"))</f>
        <v/>
      </c>
    </row>
    <row r="98" ht="15.75" customHeight="1">
      <c r="C98" s="42"/>
      <c r="D98" s="42"/>
      <c r="E98" s="43"/>
      <c r="F98" s="44"/>
      <c r="G98" s="42"/>
      <c r="H98" s="45" t="str">
        <f>IF(COUNTA(C98:G98)=0,"",IF(AND(COUNTIF(Creditos!C6:C15,C98)=1,ISNUMBER(D98),D98&gt;=1,D98=INT(D98),D98&lt;=SUMIF(Creditos!C6:C15,C98,Creditos!H6:H15),ISNUMBER(E98),E98&gt;0,ISNUMBER(F98),F98&gt;0),"OK","Revisar pago"))</f>
        <v/>
      </c>
    </row>
    <row r="99" ht="15.75" customHeight="1">
      <c r="C99" s="42"/>
      <c r="D99" s="42"/>
      <c r="E99" s="43"/>
      <c r="F99" s="44"/>
      <c r="G99" s="42"/>
      <c r="H99" s="45" t="str">
        <f>IF(COUNTA(C99:G99)=0,"",IF(AND(COUNTIF(Creditos!C6:C15,C99)=1,ISNUMBER(D99),D99&gt;=1,D99=INT(D99),D99&lt;=SUMIF(Creditos!C6:C15,C99,Creditos!H6:H15),ISNUMBER(E99),E99&gt;0,ISNUMBER(F99),F99&gt;0),"OK","Revisar pago"))</f>
        <v/>
      </c>
    </row>
    <row r="100" ht="15.75" customHeight="1">
      <c r="C100" s="42"/>
      <c r="D100" s="42"/>
      <c r="E100" s="43"/>
      <c r="F100" s="44"/>
      <c r="G100" s="42"/>
      <c r="H100" s="45" t="str">
        <f>IF(COUNTA(C100:G100)=0,"",IF(AND(COUNTIF(Creditos!C6:C15,C100)=1,ISNUMBER(D100),D100&gt;=1,D100=INT(D100),D100&lt;=SUMIF(Creditos!C6:C15,C100,Creditos!H6:H15),ISNUMBER(E100),E100&gt;0,ISNUMBER(F100),F100&gt;0),"OK","Revisar pago"))</f>
        <v/>
      </c>
    </row>
    <row r="101" ht="15.75" customHeight="1">
      <c r="C101" s="42"/>
      <c r="D101" s="42"/>
      <c r="E101" s="43"/>
      <c r="F101" s="44"/>
      <c r="G101" s="42"/>
      <c r="H101" s="45" t="str">
        <f>IF(COUNTA(C101:G101)=0,"",IF(AND(COUNTIF(Creditos!C6:C15,C101)=1,ISNUMBER(D101),D101&gt;=1,D101=INT(D101),D101&lt;=SUMIF(Creditos!C6:C15,C101,Creditos!H6:H15),ISNUMBER(E101),E101&gt;0,ISNUMBER(F101),F101&gt;0),"OK","Revisar pago"))</f>
        <v/>
      </c>
    </row>
    <row r="102" ht="15.75" customHeight="1">
      <c r="C102" s="42"/>
      <c r="D102" s="42"/>
      <c r="E102" s="43"/>
      <c r="F102" s="44"/>
      <c r="G102" s="42"/>
      <c r="H102" s="45" t="str">
        <f>IF(COUNTA(C102:G102)=0,"",IF(AND(COUNTIF(Creditos!C6:C15,C102)=1,ISNUMBER(D102),D102&gt;=1,D102=INT(D102),D102&lt;=SUMIF(Creditos!C6:C15,C102,Creditos!H6:H15),ISNUMBER(E102),E102&gt;0,ISNUMBER(F102),F102&gt;0),"OK","Revisar pago"))</f>
        <v/>
      </c>
    </row>
    <row r="103" ht="15.75" customHeight="1">
      <c r="C103" s="42"/>
      <c r="D103" s="42"/>
      <c r="E103" s="43"/>
      <c r="F103" s="44"/>
      <c r="G103" s="42"/>
      <c r="H103" s="45" t="str">
        <f>IF(COUNTA(C103:G103)=0,"",IF(AND(COUNTIF(Creditos!C6:C15,C103)=1,ISNUMBER(D103),D103&gt;=1,D103=INT(D103),D103&lt;=SUMIF(Creditos!C6:C15,C103,Creditos!H6:H15),ISNUMBER(E103),E103&gt;0,ISNUMBER(F103),F103&gt;0),"OK","Revisar pago"))</f>
        <v/>
      </c>
    </row>
    <row r="104" ht="15.75" customHeight="1">
      <c r="C104" s="42"/>
      <c r="D104" s="42"/>
      <c r="E104" s="43"/>
      <c r="F104" s="44"/>
      <c r="G104" s="42"/>
      <c r="H104" s="45" t="str">
        <f>IF(COUNTA(C104:G104)=0,"",IF(AND(COUNTIF(Creditos!C6:C15,C104)=1,ISNUMBER(D104),D104&gt;=1,D104=INT(D104),D104&lt;=SUMIF(Creditos!C6:C15,C104,Creditos!H6:H15),ISNUMBER(E104),E104&gt;0,ISNUMBER(F104),F104&gt;0),"OK","Revisar pago"))</f>
        <v/>
      </c>
    </row>
    <row r="105" ht="15.75" customHeight="1">
      <c r="C105" s="42"/>
      <c r="D105" s="42"/>
      <c r="E105" s="43"/>
      <c r="F105" s="44"/>
      <c r="G105" s="42"/>
      <c r="H105" s="45" t="str">
        <f>IF(COUNTA(C105:G105)=0,"",IF(AND(COUNTIF(Creditos!C6:C15,C105)=1,ISNUMBER(D105),D105&gt;=1,D105=INT(D105),D105&lt;=SUMIF(Creditos!C6:C15,C105,Creditos!H6:H15),ISNUMBER(E105),E105&gt;0,ISNUMBER(F105),F105&gt;0),"OK","Revisar pago"))</f>
        <v/>
      </c>
    </row>
    <row r="106" ht="15.75" customHeight="1">
      <c r="C106" s="42"/>
      <c r="D106" s="42"/>
      <c r="E106" s="43"/>
      <c r="F106" s="44"/>
      <c r="G106" s="42"/>
      <c r="H106" s="45" t="str">
        <f>IF(COUNTA(C106:G106)=0,"",IF(AND(COUNTIF(Creditos!C6:C15,C106)=1,ISNUMBER(D106),D106&gt;=1,D106=INT(D106),D106&lt;=SUMIF(Creditos!C6:C15,C106,Creditos!H6:H15),ISNUMBER(E106),E106&gt;0,ISNUMBER(F106),F106&gt;0),"OK","Revisar pago"))</f>
        <v/>
      </c>
    </row>
    <row r="107" ht="15.75" customHeight="1">
      <c r="C107" s="42"/>
      <c r="D107" s="42"/>
      <c r="E107" s="43"/>
      <c r="F107" s="44"/>
      <c r="G107" s="42"/>
      <c r="H107" s="45" t="str">
        <f>IF(COUNTA(C107:G107)=0,"",IF(AND(COUNTIF(Creditos!C6:C15,C107)=1,ISNUMBER(D107),D107&gt;=1,D107=INT(D107),D107&lt;=SUMIF(Creditos!C6:C15,C107,Creditos!H6:H15),ISNUMBER(E107),E107&gt;0,ISNUMBER(F107),F107&gt;0),"OK","Revisar pago"))</f>
        <v/>
      </c>
    </row>
    <row r="108" ht="15.75" customHeight="1">
      <c r="C108" s="42"/>
      <c r="D108" s="42"/>
      <c r="E108" s="43"/>
      <c r="F108" s="44"/>
      <c r="G108" s="42"/>
      <c r="H108" s="45" t="str">
        <f>IF(COUNTA(C108:G108)=0,"",IF(AND(COUNTIF(Creditos!C6:C15,C108)=1,ISNUMBER(D108),D108&gt;=1,D108=INT(D108),D108&lt;=SUMIF(Creditos!C6:C15,C108,Creditos!H6:H15),ISNUMBER(E108),E108&gt;0,ISNUMBER(F108),F108&gt;0),"OK","Revisar pago"))</f>
        <v/>
      </c>
    </row>
    <row r="109" ht="15.75" customHeight="1">
      <c r="C109" s="42"/>
      <c r="D109" s="42"/>
      <c r="E109" s="43"/>
      <c r="F109" s="44"/>
      <c r="G109" s="42"/>
      <c r="H109" s="45" t="str">
        <f>IF(COUNTA(C109:G109)=0,"",IF(AND(COUNTIF(Creditos!C6:C15,C109)=1,ISNUMBER(D109),D109&gt;=1,D109=INT(D109),D109&lt;=SUMIF(Creditos!C6:C15,C109,Creditos!H6:H15),ISNUMBER(E109),E109&gt;0,ISNUMBER(F109),F109&gt;0),"OK","Revisar pago"))</f>
        <v/>
      </c>
    </row>
    <row r="110" ht="15.75" customHeight="1">
      <c r="C110" s="42"/>
      <c r="D110" s="42"/>
      <c r="E110" s="43"/>
      <c r="F110" s="44"/>
      <c r="G110" s="42"/>
      <c r="H110" s="45" t="str">
        <f>IF(COUNTA(C110:G110)=0,"",IF(AND(COUNTIF(Creditos!C6:C15,C110)=1,ISNUMBER(D110),D110&gt;=1,D110=INT(D110),D110&lt;=SUMIF(Creditos!C6:C15,C110,Creditos!H6:H15),ISNUMBER(E110),E110&gt;0,ISNUMBER(F110),F110&gt;0),"OK","Revisar pago"))</f>
        <v/>
      </c>
    </row>
    <row r="111" ht="15.75" customHeight="1">
      <c r="C111" s="42"/>
      <c r="D111" s="42"/>
      <c r="E111" s="43"/>
      <c r="F111" s="44"/>
      <c r="G111" s="42"/>
      <c r="H111" s="45" t="str">
        <f>IF(COUNTA(C111:G111)=0,"",IF(AND(COUNTIF(Creditos!C6:C15,C111)=1,ISNUMBER(D111),D111&gt;=1,D111=INT(D111),D111&lt;=SUMIF(Creditos!C6:C15,C111,Creditos!H6:H15),ISNUMBER(E111),E111&gt;0,ISNUMBER(F111),F111&gt;0),"OK","Revisar pago"))</f>
        <v/>
      </c>
    </row>
    <row r="112" ht="15.75" customHeight="1">
      <c r="C112" s="42"/>
      <c r="D112" s="42"/>
      <c r="E112" s="43"/>
      <c r="F112" s="44"/>
      <c r="G112" s="42"/>
      <c r="H112" s="45" t="str">
        <f>IF(COUNTA(C112:G112)=0,"",IF(AND(COUNTIF(Creditos!C6:C15,C112)=1,ISNUMBER(D112),D112&gt;=1,D112=INT(D112),D112&lt;=SUMIF(Creditos!C6:C15,C112,Creditos!H6:H15),ISNUMBER(E112),E112&gt;0,ISNUMBER(F112),F112&gt;0),"OK","Revisar pago"))</f>
        <v/>
      </c>
    </row>
    <row r="113" ht="15.75" customHeight="1">
      <c r="C113" s="42"/>
      <c r="D113" s="42"/>
      <c r="E113" s="43"/>
      <c r="F113" s="44"/>
      <c r="G113" s="42"/>
      <c r="H113" s="45" t="str">
        <f>IF(COUNTA(C113:G113)=0,"",IF(AND(COUNTIF(Creditos!C6:C15,C113)=1,ISNUMBER(D113),D113&gt;=1,D113=INT(D113),D113&lt;=SUMIF(Creditos!C6:C15,C113,Creditos!H6:H15),ISNUMBER(E113),E113&gt;0,ISNUMBER(F113),F113&gt;0),"OK","Revisar pago"))</f>
        <v/>
      </c>
    </row>
    <row r="114" ht="15.75" customHeight="1">
      <c r="C114" s="42"/>
      <c r="D114" s="42"/>
      <c r="E114" s="43"/>
      <c r="F114" s="44"/>
      <c r="G114" s="42"/>
      <c r="H114" s="45" t="str">
        <f>IF(COUNTA(C114:G114)=0,"",IF(AND(COUNTIF(Creditos!C6:C15,C114)=1,ISNUMBER(D114),D114&gt;=1,D114=INT(D114),D114&lt;=SUMIF(Creditos!C6:C15,C114,Creditos!H6:H15),ISNUMBER(E114),E114&gt;0,ISNUMBER(F114),F114&gt;0),"OK","Revisar pago"))</f>
        <v/>
      </c>
    </row>
    <row r="115" ht="15.75" customHeight="1">
      <c r="C115" s="42"/>
      <c r="D115" s="42"/>
      <c r="E115" s="43"/>
      <c r="F115" s="44"/>
      <c r="G115" s="42"/>
      <c r="H115" s="45" t="str">
        <f>IF(COUNTA(C115:G115)=0,"",IF(AND(COUNTIF(Creditos!C6:C15,C115)=1,ISNUMBER(D115),D115&gt;=1,D115=INT(D115),D115&lt;=SUMIF(Creditos!C6:C15,C115,Creditos!H6:H15),ISNUMBER(E115),E115&gt;0,ISNUMBER(F115),F115&gt;0),"OK","Revisar pago"))</f>
        <v/>
      </c>
    </row>
    <row r="116" ht="15.75" customHeight="1">
      <c r="C116" s="42"/>
      <c r="D116" s="42"/>
      <c r="E116" s="43"/>
      <c r="F116" s="44"/>
      <c r="G116" s="42"/>
      <c r="H116" s="45" t="str">
        <f>IF(COUNTA(C116:G116)=0,"",IF(AND(COUNTIF(Creditos!C6:C15,C116)=1,ISNUMBER(D116),D116&gt;=1,D116=INT(D116),D116&lt;=SUMIF(Creditos!C6:C15,C116,Creditos!H6:H15),ISNUMBER(E116),E116&gt;0,ISNUMBER(F116),F116&gt;0),"OK","Revisar pago"))</f>
        <v/>
      </c>
    </row>
    <row r="117" ht="15.75" customHeight="1">
      <c r="C117" s="42"/>
      <c r="D117" s="42"/>
      <c r="E117" s="43"/>
      <c r="F117" s="44"/>
      <c r="G117" s="42"/>
      <c r="H117" s="45" t="str">
        <f>IF(COUNTA(C117:G117)=0,"",IF(AND(COUNTIF(Creditos!C6:C15,C117)=1,ISNUMBER(D117),D117&gt;=1,D117=INT(D117),D117&lt;=SUMIF(Creditos!C6:C15,C117,Creditos!H6:H15),ISNUMBER(E117),E117&gt;0,ISNUMBER(F117),F117&gt;0),"OK","Revisar pago"))</f>
        <v/>
      </c>
    </row>
    <row r="118" ht="15.75" customHeight="1">
      <c r="C118" s="42"/>
      <c r="D118" s="42"/>
      <c r="E118" s="43"/>
      <c r="F118" s="44"/>
      <c r="G118" s="42"/>
      <c r="H118" s="45" t="str">
        <f>IF(COUNTA(C118:G118)=0,"",IF(AND(COUNTIF(Creditos!C6:C15,C118)=1,ISNUMBER(D118),D118&gt;=1,D118=INT(D118),D118&lt;=SUMIF(Creditos!C6:C15,C118,Creditos!H6:H15),ISNUMBER(E118),E118&gt;0,ISNUMBER(F118),F118&gt;0),"OK","Revisar pago"))</f>
        <v/>
      </c>
    </row>
    <row r="119" ht="15.75" customHeight="1">
      <c r="C119" s="42"/>
      <c r="D119" s="42"/>
      <c r="E119" s="43"/>
      <c r="F119" s="44"/>
      <c r="G119" s="42"/>
      <c r="H119" s="45" t="str">
        <f>IF(COUNTA(C119:G119)=0,"",IF(AND(COUNTIF(Creditos!C6:C15,C119)=1,ISNUMBER(D119),D119&gt;=1,D119=INT(D119),D119&lt;=SUMIF(Creditos!C6:C15,C119,Creditos!H6:H15),ISNUMBER(E119),E119&gt;0,ISNUMBER(F119),F119&gt;0),"OK","Revisar pago"))</f>
        <v/>
      </c>
    </row>
    <row r="120" ht="15.75" customHeight="1">
      <c r="C120" s="42"/>
      <c r="D120" s="42"/>
      <c r="E120" s="43"/>
      <c r="F120" s="44"/>
      <c r="G120" s="42"/>
      <c r="H120" s="45" t="str">
        <f>IF(COUNTA(C120:G120)=0,"",IF(AND(COUNTIF(Creditos!C6:C15,C120)=1,ISNUMBER(D120),D120&gt;=1,D120=INT(D120),D120&lt;=SUMIF(Creditos!C6:C15,C120,Creditos!H6:H15),ISNUMBER(E120),E120&gt;0,ISNUMBER(F120),F120&gt;0),"OK","Revisar pago"))</f>
        <v/>
      </c>
    </row>
    <row r="121" ht="15.75" customHeight="1">
      <c r="C121" s="42"/>
      <c r="D121" s="42"/>
      <c r="E121" s="43"/>
      <c r="F121" s="44"/>
      <c r="G121" s="42"/>
      <c r="H121" s="45" t="str">
        <f>IF(COUNTA(C121:G121)=0,"",IF(AND(COUNTIF(Creditos!C6:C15,C121)=1,ISNUMBER(D121),D121&gt;=1,D121=INT(D121),D121&lt;=SUMIF(Creditos!C6:C15,C121,Creditos!H6:H15),ISNUMBER(E121),E121&gt;0,ISNUMBER(F121),F121&gt;0),"OK","Revisar pago"))</f>
        <v/>
      </c>
    </row>
    <row r="122" ht="15.75" customHeight="1">
      <c r="C122" s="42"/>
      <c r="D122" s="42"/>
      <c r="E122" s="43"/>
      <c r="F122" s="44"/>
      <c r="G122" s="42"/>
      <c r="H122" s="45" t="str">
        <f>IF(COUNTA(C122:G122)=0,"",IF(AND(COUNTIF(Creditos!C6:C15,C122)=1,ISNUMBER(D122),D122&gt;=1,D122=INT(D122),D122&lt;=SUMIF(Creditos!C6:C15,C122,Creditos!H6:H15),ISNUMBER(E122),E122&gt;0,ISNUMBER(F122),F122&gt;0),"OK","Revisar pago"))</f>
        <v/>
      </c>
    </row>
    <row r="123" ht="15.75" customHeight="1">
      <c r="C123" s="42"/>
      <c r="D123" s="42"/>
      <c r="E123" s="43"/>
      <c r="F123" s="44"/>
      <c r="G123" s="42"/>
      <c r="H123" s="45" t="str">
        <f>IF(COUNTA(C123:G123)=0,"",IF(AND(COUNTIF(Creditos!C6:C15,C123)=1,ISNUMBER(D123),D123&gt;=1,D123=INT(D123),D123&lt;=SUMIF(Creditos!C6:C15,C123,Creditos!H6:H15),ISNUMBER(E123),E123&gt;0,ISNUMBER(F123),F123&gt;0),"OK","Revisar pago"))</f>
        <v/>
      </c>
    </row>
    <row r="124" ht="15.75" customHeight="1">
      <c r="C124" s="42"/>
      <c r="D124" s="42"/>
      <c r="E124" s="43"/>
      <c r="F124" s="44"/>
      <c r="G124" s="42"/>
      <c r="H124" s="45" t="str">
        <f>IF(COUNTA(C124:G124)=0,"",IF(AND(COUNTIF(Creditos!C6:C15,C124)=1,ISNUMBER(D124),D124&gt;=1,D124=INT(D124),D124&lt;=SUMIF(Creditos!C6:C15,C124,Creditos!H6:H15),ISNUMBER(E124),E124&gt;0,ISNUMBER(F124),F124&gt;0),"OK","Revisar pago"))</f>
        <v/>
      </c>
    </row>
    <row r="125" ht="15.75" customHeight="1">
      <c r="C125" s="42"/>
      <c r="D125" s="42"/>
      <c r="E125" s="43"/>
      <c r="F125" s="44"/>
      <c r="G125" s="42"/>
      <c r="H125" s="45" t="str">
        <f>IF(COUNTA(C125:G125)=0,"",IF(AND(COUNTIF(Creditos!C6:C15,C125)=1,ISNUMBER(D125),D125&gt;=1,D125=INT(D125),D125&lt;=SUMIF(Creditos!C6:C15,C125,Creditos!H6:H15),ISNUMBER(E125),E125&gt;0,ISNUMBER(F125),F125&gt;0),"OK","Revisar pago"))</f>
        <v/>
      </c>
    </row>
    <row r="126" ht="15.75" customHeight="1">
      <c r="C126" s="42"/>
      <c r="D126" s="42"/>
      <c r="E126" s="43"/>
      <c r="F126" s="44"/>
      <c r="G126" s="42"/>
      <c r="H126" s="45" t="str">
        <f>IF(COUNTA(C126:G126)=0,"",IF(AND(COUNTIF(Creditos!C6:C15,C126)=1,ISNUMBER(D126),D126&gt;=1,D126=INT(D126),D126&lt;=SUMIF(Creditos!C6:C15,C126,Creditos!H6:H15),ISNUMBER(E126),E126&gt;0,ISNUMBER(F126),F126&gt;0),"OK","Revisar pago"))</f>
        <v/>
      </c>
    </row>
    <row r="127" ht="15.75" customHeight="1">
      <c r="C127" s="42"/>
      <c r="D127" s="42"/>
      <c r="E127" s="43"/>
      <c r="F127" s="44"/>
      <c r="G127" s="42"/>
      <c r="H127" s="45" t="str">
        <f>IF(COUNTA(C127:G127)=0,"",IF(AND(COUNTIF(Creditos!C6:C15,C127)=1,ISNUMBER(D127),D127&gt;=1,D127=INT(D127),D127&lt;=SUMIF(Creditos!C6:C15,C127,Creditos!H6:H15),ISNUMBER(E127),E127&gt;0,ISNUMBER(F127),F127&gt;0),"OK","Revisar pago"))</f>
        <v/>
      </c>
    </row>
    <row r="128" ht="15.75" customHeight="1">
      <c r="C128" s="42"/>
      <c r="D128" s="42"/>
      <c r="E128" s="43"/>
      <c r="F128" s="44"/>
      <c r="G128" s="42"/>
      <c r="H128" s="45" t="str">
        <f>IF(COUNTA(C128:G128)=0,"",IF(AND(COUNTIF(Creditos!C6:C15,C128)=1,ISNUMBER(D128),D128&gt;=1,D128=INT(D128),D128&lt;=SUMIF(Creditos!C6:C15,C128,Creditos!H6:H15),ISNUMBER(E128),E128&gt;0,ISNUMBER(F128),F128&gt;0),"OK","Revisar pago"))</f>
        <v/>
      </c>
    </row>
    <row r="129" ht="15.75" customHeight="1">
      <c r="C129" s="42"/>
      <c r="D129" s="42"/>
      <c r="E129" s="43"/>
      <c r="F129" s="44"/>
      <c r="G129" s="42"/>
      <c r="H129" s="45" t="str">
        <f>IF(COUNTA(C129:G129)=0,"",IF(AND(COUNTIF(Creditos!C6:C15,C129)=1,ISNUMBER(D129),D129&gt;=1,D129=INT(D129),D129&lt;=SUMIF(Creditos!C6:C15,C129,Creditos!H6:H15),ISNUMBER(E129),E129&gt;0,ISNUMBER(F129),F129&gt;0),"OK","Revisar pago"))</f>
        <v/>
      </c>
    </row>
    <row r="130" ht="15.75" customHeight="1">
      <c r="C130" s="42"/>
      <c r="D130" s="42"/>
      <c r="E130" s="43"/>
      <c r="F130" s="44"/>
      <c r="G130" s="42"/>
      <c r="H130" s="45" t="str">
        <f>IF(COUNTA(C130:G130)=0,"",IF(AND(COUNTIF(Creditos!C6:C15,C130)=1,ISNUMBER(D130),D130&gt;=1,D130=INT(D130),D130&lt;=SUMIF(Creditos!C6:C15,C130,Creditos!H6:H15),ISNUMBER(E130),E130&gt;0,ISNUMBER(F130),F130&gt;0),"OK","Revisar pago"))</f>
        <v/>
      </c>
    </row>
    <row r="131" ht="15.75" customHeight="1">
      <c r="C131" s="42"/>
      <c r="D131" s="42"/>
      <c r="E131" s="43"/>
      <c r="F131" s="44"/>
      <c r="G131" s="42"/>
      <c r="H131" s="45" t="str">
        <f>IF(COUNTA(C131:G131)=0,"",IF(AND(COUNTIF(Creditos!C6:C15,C131)=1,ISNUMBER(D131),D131&gt;=1,D131=INT(D131),D131&lt;=SUMIF(Creditos!C6:C15,C131,Creditos!H6:H15),ISNUMBER(E131),E131&gt;0,ISNUMBER(F131),F131&gt;0),"OK","Revisar pago"))</f>
        <v/>
      </c>
    </row>
    <row r="132" ht="15.75" customHeight="1">
      <c r="C132" s="42"/>
      <c r="D132" s="42"/>
      <c r="E132" s="43"/>
      <c r="F132" s="44"/>
      <c r="G132" s="42"/>
      <c r="H132" s="45" t="str">
        <f>IF(COUNTA(C132:G132)=0,"",IF(AND(COUNTIF(Creditos!C6:C15,C132)=1,ISNUMBER(D132),D132&gt;=1,D132=INT(D132),D132&lt;=SUMIF(Creditos!C6:C15,C132,Creditos!H6:H15),ISNUMBER(E132),E132&gt;0,ISNUMBER(F132),F132&gt;0),"OK","Revisar pago"))</f>
        <v/>
      </c>
    </row>
    <row r="133" ht="15.75" customHeight="1">
      <c r="C133" s="42"/>
      <c r="D133" s="42"/>
      <c r="E133" s="43"/>
      <c r="F133" s="44"/>
      <c r="G133" s="42"/>
      <c r="H133" s="45" t="str">
        <f>IF(COUNTA(C133:G133)=0,"",IF(AND(COUNTIF(Creditos!C6:C15,C133)=1,ISNUMBER(D133),D133&gt;=1,D133=INT(D133),D133&lt;=SUMIF(Creditos!C6:C15,C133,Creditos!H6:H15),ISNUMBER(E133),E133&gt;0,ISNUMBER(F133),F133&gt;0),"OK","Revisar pago"))</f>
        <v/>
      </c>
    </row>
    <row r="134" ht="15.75" customHeight="1">
      <c r="C134" s="42"/>
      <c r="D134" s="42"/>
      <c r="E134" s="43"/>
      <c r="F134" s="44"/>
      <c r="G134" s="42"/>
      <c r="H134" s="45" t="str">
        <f>IF(COUNTA(C134:G134)=0,"",IF(AND(COUNTIF(Creditos!C6:C15,C134)=1,ISNUMBER(D134),D134&gt;=1,D134=INT(D134),D134&lt;=SUMIF(Creditos!C6:C15,C134,Creditos!H6:H15),ISNUMBER(E134),E134&gt;0,ISNUMBER(F134),F134&gt;0),"OK","Revisar pago"))</f>
        <v/>
      </c>
    </row>
    <row r="135" ht="15.75" customHeight="1">
      <c r="C135" s="42"/>
      <c r="D135" s="42"/>
      <c r="E135" s="43"/>
      <c r="F135" s="44"/>
      <c r="G135" s="42"/>
      <c r="H135" s="45" t="str">
        <f>IF(COUNTA(C135:G135)=0,"",IF(AND(COUNTIF(Creditos!C6:C15,C135)=1,ISNUMBER(D135),D135&gt;=1,D135=INT(D135),D135&lt;=SUMIF(Creditos!C6:C15,C135,Creditos!H6:H15),ISNUMBER(E135),E135&gt;0,ISNUMBER(F135),F135&gt;0),"OK","Revisar pago"))</f>
        <v/>
      </c>
    </row>
    <row r="136" ht="15.75" customHeight="1">
      <c r="C136" s="42"/>
      <c r="D136" s="42"/>
      <c r="E136" s="43"/>
      <c r="F136" s="44"/>
      <c r="G136" s="42"/>
      <c r="H136" s="45" t="str">
        <f>IF(COUNTA(C136:G136)=0,"",IF(AND(COUNTIF(Creditos!C6:C15,C136)=1,ISNUMBER(D136),D136&gt;=1,D136=INT(D136),D136&lt;=SUMIF(Creditos!C6:C15,C136,Creditos!H6:H15),ISNUMBER(E136),E136&gt;0,ISNUMBER(F136),F136&gt;0),"OK","Revisar pago"))</f>
        <v/>
      </c>
    </row>
    <row r="137" ht="15.75" customHeight="1">
      <c r="C137" s="42"/>
      <c r="D137" s="42"/>
      <c r="E137" s="43"/>
      <c r="F137" s="44"/>
      <c r="G137" s="42"/>
      <c r="H137" s="45" t="str">
        <f>IF(COUNTA(C137:G137)=0,"",IF(AND(COUNTIF(Creditos!C6:C15,C137)=1,ISNUMBER(D137),D137&gt;=1,D137=INT(D137),D137&lt;=SUMIF(Creditos!C6:C15,C137,Creditos!H6:H15),ISNUMBER(E137),E137&gt;0,ISNUMBER(F137),F137&gt;0),"OK","Revisar pago"))</f>
        <v/>
      </c>
    </row>
    <row r="138" ht="15.75" customHeight="1">
      <c r="C138" s="42"/>
      <c r="D138" s="42"/>
      <c r="E138" s="43"/>
      <c r="F138" s="44"/>
      <c r="G138" s="42"/>
      <c r="H138" s="45" t="str">
        <f>IF(COUNTA(C138:G138)=0,"",IF(AND(COUNTIF(Creditos!C6:C15,C138)=1,ISNUMBER(D138),D138&gt;=1,D138=INT(D138),D138&lt;=SUMIF(Creditos!C6:C15,C138,Creditos!H6:H15),ISNUMBER(E138),E138&gt;0,ISNUMBER(F138),F138&gt;0),"OK","Revisar pago"))</f>
        <v/>
      </c>
    </row>
    <row r="139" ht="15.75" customHeight="1">
      <c r="C139" s="42"/>
      <c r="D139" s="42"/>
      <c r="E139" s="43"/>
      <c r="F139" s="44"/>
      <c r="G139" s="42"/>
      <c r="H139" s="45" t="str">
        <f>IF(COUNTA(C139:G139)=0,"",IF(AND(COUNTIF(Creditos!C6:C15,C139)=1,ISNUMBER(D139),D139&gt;=1,D139=INT(D139),D139&lt;=SUMIF(Creditos!C6:C15,C139,Creditos!H6:H15),ISNUMBER(E139),E139&gt;0,ISNUMBER(F139),F139&gt;0),"OK","Revisar pago"))</f>
        <v/>
      </c>
    </row>
    <row r="140" ht="15.75" customHeight="1">
      <c r="C140" s="42"/>
      <c r="D140" s="42"/>
      <c r="E140" s="43"/>
      <c r="F140" s="44"/>
      <c r="G140" s="42"/>
      <c r="H140" s="45" t="str">
        <f>IF(COUNTA(C140:G140)=0,"",IF(AND(COUNTIF(Creditos!C6:C15,C140)=1,ISNUMBER(D140),D140&gt;=1,D140=INT(D140),D140&lt;=SUMIF(Creditos!C6:C15,C140,Creditos!H6:H15),ISNUMBER(E140),E140&gt;0,ISNUMBER(F140),F140&gt;0),"OK","Revisar pago"))</f>
        <v/>
      </c>
    </row>
    <row r="141" ht="15.75" customHeight="1">
      <c r="C141" s="42"/>
      <c r="D141" s="42"/>
      <c r="E141" s="43"/>
      <c r="F141" s="44"/>
      <c r="G141" s="42"/>
      <c r="H141" s="45" t="str">
        <f>IF(COUNTA(C141:G141)=0,"",IF(AND(COUNTIF(Creditos!C6:C15,C141)=1,ISNUMBER(D141),D141&gt;=1,D141=INT(D141),D141&lt;=SUMIF(Creditos!C6:C15,C141,Creditos!H6:H15),ISNUMBER(E141),E141&gt;0,ISNUMBER(F141),F141&gt;0),"OK","Revisar pago"))</f>
        <v/>
      </c>
    </row>
    <row r="142" ht="15.75" customHeight="1">
      <c r="C142" s="42"/>
      <c r="D142" s="42"/>
      <c r="E142" s="43"/>
      <c r="F142" s="44"/>
      <c r="G142" s="42"/>
      <c r="H142" s="45" t="str">
        <f>IF(COUNTA(C142:G142)=0,"",IF(AND(COUNTIF(Creditos!C6:C15,C142)=1,ISNUMBER(D142),D142&gt;=1,D142=INT(D142),D142&lt;=SUMIF(Creditos!C6:C15,C142,Creditos!H6:H15),ISNUMBER(E142),E142&gt;0,ISNUMBER(F142),F142&gt;0),"OK","Revisar pago"))</f>
        <v/>
      </c>
    </row>
    <row r="143" ht="15.75" customHeight="1">
      <c r="C143" s="42"/>
      <c r="D143" s="42"/>
      <c r="E143" s="43"/>
      <c r="F143" s="44"/>
      <c r="G143" s="42"/>
      <c r="H143" s="45" t="str">
        <f>IF(COUNTA(C143:G143)=0,"",IF(AND(COUNTIF(Creditos!C6:C15,C143)=1,ISNUMBER(D143),D143&gt;=1,D143=INT(D143),D143&lt;=SUMIF(Creditos!C6:C15,C143,Creditos!H6:H15),ISNUMBER(E143),E143&gt;0,ISNUMBER(F143),F143&gt;0),"OK","Revisar pago"))</f>
        <v/>
      </c>
    </row>
    <row r="144" ht="15.75" customHeight="1">
      <c r="C144" s="42"/>
      <c r="D144" s="42"/>
      <c r="E144" s="43"/>
      <c r="F144" s="44"/>
      <c r="G144" s="42"/>
      <c r="H144" s="45" t="str">
        <f>IF(COUNTA(C144:G144)=0,"",IF(AND(COUNTIF(Creditos!C6:C15,C144)=1,ISNUMBER(D144),D144&gt;=1,D144=INT(D144),D144&lt;=SUMIF(Creditos!C6:C15,C144,Creditos!H6:H15),ISNUMBER(E144),E144&gt;0,ISNUMBER(F144),F144&gt;0),"OK","Revisar pago"))</f>
        <v/>
      </c>
    </row>
    <row r="145" ht="15.75" customHeight="1">
      <c r="C145" s="42"/>
      <c r="D145" s="42"/>
      <c r="E145" s="43"/>
      <c r="F145" s="44"/>
      <c r="G145" s="42"/>
      <c r="H145" s="45" t="str">
        <f>IF(COUNTA(C145:G145)=0,"",IF(AND(COUNTIF(Creditos!C6:C15,C145)=1,ISNUMBER(D145),D145&gt;=1,D145=INT(D145),D145&lt;=SUMIF(Creditos!C6:C15,C145,Creditos!H6:H15),ISNUMBER(E145),E145&gt;0,ISNUMBER(F145),F145&gt;0),"OK","Revisar pago"))</f>
        <v/>
      </c>
    </row>
    <row r="146" ht="15.75" customHeight="1">
      <c r="C146" s="42"/>
      <c r="D146" s="42"/>
      <c r="E146" s="43"/>
      <c r="F146" s="44"/>
      <c r="G146" s="42"/>
      <c r="H146" s="45" t="str">
        <f>IF(COUNTA(C146:G146)=0,"",IF(AND(COUNTIF(Creditos!C6:C15,C146)=1,ISNUMBER(D146),D146&gt;=1,D146=INT(D146),D146&lt;=SUMIF(Creditos!C6:C15,C146,Creditos!H6:H15),ISNUMBER(E146),E146&gt;0,ISNUMBER(F146),F146&gt;0),"OK","Revisar pago"))</f>
        <v/>
      </c>
    </row>
    <row r="147" ht="15.75" customHeight="1">
      <c r="C147" s="42"/>
      <c r="D147" s="42"/>
      <c r="E147" s="43"/>
      <c r="F147" s="44"/>
      <c r="G147" s="42"/>
      <c r="H147" s="45" t="str">
        <f>IF(COUNTA(C147:G147)=0,"",IF(AND(COUNTIF(Creditos!C6:C15,C147)=1,ISNUMBER(D147),D147&gt;=1,D147=INT(D147),D147&lt;=SUMIF(Creditos!C6:C15,C147,Creditos!H6:H15),ISNUMBER(E147),E147&gt;0,ISNUMBER(F147),F147&gt;0),"OK","Revisar pago"))</f>
        <v/>
      </c>
    </row>
    <row r="148" ht="15.75" customHeight="1">
      <c r="C148" s="42"/>
      <c r="D148" s="42"/>
      <c r="E148" s="43"/>
      <c r="F148" s="44"/>
      <c r="G148" s="42"/>
      <c r="H148" s="45" t="str">
        <f>IF(COUNTA(C148:G148)=0,"",IF(AND(COUNTIF(Creditos!C6:C15,C148)=1,ISNUMBER(D148),D148&gt;=1,D148=INT(D148),D148&lt;=SUMIF(Creditos!C6:C15,C148,Creditos!H6:H15),ISNUMBER(E148),E148&gt;0,ISNUMBER(F148),F148&gt;0),"OK","Revisar pago"))</f>
        <v/>
      </c>
    </row>
    <row r="149" ht="15.75" customHeight="1">
      <c r="C149" s="42"/>
      <c r="D149" s="42"/>
      <c r="E149" s="43"/>
      <c r="F149" s="44"/>
      <c r="G149" s="42"/>
      <c r="H149" s="45" t="str">
        <f>IF(COUNTA(C149:G149)=0,"",IF(AND(COUNTIF(Creditos!C6:C15,C149)=1,ISNUMBER(D149),D149&gt;=1,D149=INT(D149),D149&lt;=SUMIF(Creditos!C6:C15,C149,Creditos!H6:H15),ISNUMBER(E149),E149&gt;0,ISNUMBER(F149),F149&gt;0),"OK","Revisar pago"))</f>
        <v/>
      </c>
    </row>
    <row r="150" ht="15.75" customHeight="1">
      <c r="C150" s="42"/>
      <c r="D150" s="42"/>
      <c r="E150" s="43"/>
      <c r="F150" s="44"/>
      <c r="G150" s="42"/>
      <c r="H150" s="45" t="str">
        <f>IF(COUNTA(C150:G150)=0,"",IF(AND(COUNTIF(Creditos!C6:C15,C150)=1,ISNUMBER(D150),D150&gt;=1,D150=INT(D150),D150&lt;=SUMIF(Creditos!C6:C15,C150,Creditos!H6:H15),ISNUMBER(E150),E150&gt;0,ISNUMBER(F150),F150&gt;0),"OK","Revisar pago"))</f>
        <v/>
      </c>
    </row>
    <row r="151" ht="15.75" customHeight="1">
      <c r="C151" s="42"/>
      <c r="D151" s="42"/>
      <c r="E151" s="43"/>
      <c r="F151" s="44"/>
      <c r="G151" s="42"/>
      <c r="H151" s="45" t="str">
        <f>IF(COUNTA(C151:G151)=0,"",IF(AND(COUNTIF(Creditos!C6:C15,C151)=1,ISNUMBER(D151),D151&gt;=1,D151=INT(D151),D151&lt;=SUMIF(Creditos!C6:C15,C151,Creditos!H6:H15),ISNUMBER(E151),E151&gt;0,ISNUMBER(F151),F151&gt;0),"OK","Revisar pago"))</f>
        <v/>
      </c>
    </row>
    <row r="152" ht="15.75" customHeight="1">
      <c r="C152" s="42"/>
      <c r="D152" s="42"/>
      <c r="E152" s="43"/>
      <c r="F152" s="44"/>
      <c r="G152" s="42"/>
      <c r="H152" s="45" t="str">
        <f>IF(COUNTA(C152:G152)=0,"",IF(AND(COUNTIF(Creditos!C6:C15,C152)=1,ISNUMBER(D152),D152&gt;=1,D152=INT(D152),D152&lt;=SUMIF(Creditos!C6:C15,C152,Creditos!H6:H15),ISNUMBER(E152),E152&gt;0,ISNUMBER(F152),F152&gt;0),"OK","Revisar pago"))</f>
        <v/>
      </c>
    </row>
    <row r="153" ht="15.75" customHeight="1">
      <c r="C153" s="42"/>
      <c r="D153" s="42"/>
      <c r="E153" s="43"/>
      <c r="F153" s="44"/>
      <c r="G153" s="42"/>
      <c r="H153" s="45" t="str">
        <f>IF(COUNTA(C153:G153)=0,"",IF(AND(COUNTIF(Creditos!C6:C15,C153)=1,ISNUMBER(D153),D153&gt;=1,D153=INT(D153),D153&lt;=SUMIF(Creditos!C6:C15,C153,Creditos!H6:H15),ISNUMBER(E153),E153&gt;0,ISNUMBER(F153),F153&gt;0),"OK","Revisar pago"))</f>
        <v/>
      </c>
    </row>
    <row r="154" ht="15.75" customHeight="1">
      <c r="C154" s="42"/>
      <c r="D154" s="42"/>
      <c r="E154" s="43"/>
      <c r="F154" s="44"/>
      <c r="G154" s="42"/>
      <c r="H154" s="45" t="str">
        <f>IF(COUNTA(C154:G154)=0,"",IF(AND(COUNTIF(Creditos!C6:C15,C154)=1,ISNUMBER(D154),D154&gt;=1,D154=INT(D154),D154&lt;=SUMIF(Creditos!C6:C15,C154,Creditos!H6:H15),ISNUMBER(E154),E154&gt;0,ISNUMBER(F154),F154&gt;0),"OK","Revisar pago"))</f>
        <v/>
      </c>
    </row>
    <row r="155" ht="15.75" customHeight="1">
      <c r="C155" s="42"/>
      <c r="D155" s="42"/>
      <c r="E155" s="43"/>
      <c r="F155" s="44"/>
      <c r="G155" s="42"/>
      <c r="H155" s="45" t="str">
        <f>IF(COUNTA(C155:G155)=0,"",IF(AND(COUNTIF(Creditos!C6:C15,C155)=1,ISNUMBER(D155),D155&gt;=1,D155=INT(D155),D155&lt;=SUMIF(Creditos!C6:C15,C155,Creditos!H6:H15),ISNUMBER(E155),E155&gt;0,ISNUMBER(F155),F155&gt;0),"OK","Revisar pago"))</f>
        <v/>
      </c>
    </row>
    <row r="156" ht="15.75" customHeight="1">
      <c r="C156" s="42"/>
      <c r="D156" s="42"/>
      <c r="E156" s="43"/>
      <c r="F156" s="44"/>
      <c r="G156" s="42"/>
      <c r="H156" s="45" t="str">
        <f>IF(COUNTA(C156:G156)=0,"",IF(AND(COUNTIF(Creditos!C6:C15,C156)=1,ISNUMBER(D156),D156&gt;=1,D156=INT(D156),D156&lt;=SUMIF(Creditos!C6:C15,C156,Creditos!H6:H15),ISNUMBER(E156),E156&gt;0,ISNUMBER(F156),F156&gt;0),"OK","Revisar pago"))</f>
        <v/>
      </c>
    </row>
    <row r="157" ht="15.75" customHeight="1">
      <c r="C157" s="42"/>
      <c r="D157" s="42"/>
      <c r="E157" s="43"/>
      <c r="F157" s="44"/>
      <c r="G157" s="42"/>
      <c r="H157" s="45" t="str">
        <f>IF(COUNTA(C157:G157)=0,"",IF(AND(COUNTIF(Creditos!C6:C15,C157)=1,ISNUMBER(D157),D157&gt;=1,D157=INT(D157),D157&lt;=SUMIF(Creditos!C6:C15,C157,Creditos!H6:H15),ISNUMBER(E157),E157&gt;0,ISNUMBER(F157),F157&gt;0),"OK","Revisar pago"))</f>
        <v/>
      </c>
    </row>
    <row r="158" ht="15.75" customHeight="1">
      <c r="C158" s="42"/>
      <c r="D158" s="42"/>
      <c r="E158" s="43"/>
      <c r="F158" s="44"/>
      <c r="G158" s="42"/>
      <c r="H158" s="45" t="str">
        <f>IF(COUNTA(C158:G158)=0,"",IF(AND(COUNTIF(Creditos!C6:C15,C158)=1,ISNUMBER(D158),D158&gt;=1,D158=INT(D158),D158&lt;=SUMIF(Creditos!C6:C15,C158,Creditos!H6:H15),ISNUMBER(E158),E158&gt;0,ISNUMBER(F158),F158&gt;0),"OK","Revisar pago"))</f>
        <v/>
      </c>
    </row>
    <row r="159" ht="15.75" customHeight="1">
      <c r="C159" s="42"/>
      <c r="D159" s="42"/>
      <c r="E159" s="43"/>
      <c r="F159" s="44"/>
      <c r="G159" s="42"/>
      <c r="H159" s="45" t="str">
        <f>IF(COUNTA(C159:G159)=0,"",IF(AND(COUNTIF(Creditos!C6:C15,C159)=1,ISNUMBER(D159),D159&gt;=1,D159=INT(D159),D159&lt;=SUMIF(Creditos!C6:C15,C159,Creditos!H6:H15),ISNUMBER(E159),E159&gt;0,ISNUMBER(F159),F159&gt;0),"OK","Revisar pago"))</f>
        <v/>
      </c>
    </row>
    <row r="160" ht="15.75" customHeight="1">
      <c r="C160" s="42"/>
      <c r="D160" s="42"/>
      <c r="E160" s="43"/>
      <c r="F160" s="44"/>
      <c r="G160" s="42"/>
      <c r="H160" s="45" t="str">
        <f>IF(COUNTA(C160:G160)=0,"",IF(AND(COUNTIF(Creditos!C6:C15,C160)=1,ISNUMBER(D160),D160&gt;=1,D160=INT(D160),D160&lt;=SUMIF(Creditos!C6:C15,C160,Creditos!H6:H15),ISNUMBER(E160),E160&gt;0,ISNUMBER(F160),F160&gt;0),"OK","Revisar pago"))</f>
        <v/>
      </c>
    </row>
    <row r="161" ht="15.75" customHeight="1">
      <c r="C161" s="42"/>
      <c r="D161" s="42"/>
      <c r="E161" s="43"/>
      <c r="F161" s="44"/>
      <c r="G161" s="42"/>
      <c r="H161" s="45" t="str">
        <f>IF(COUNTA(C161:G161)=0,"",IF(AND(COUNTIF(Creditos!C6:C15,C161)=1,ISNUMBER(D161),D161&gt;=1,D161=INT(D161),D161&lt;=SUMIF(Creditos!C6:C15,C161,Creditos!H6:H15),ISNUMBER(E161),E161&gt;0,ISNUMBER(F161),F161&gt;0),"OK","Revisar pago"))</f>
        <v/>
      </c>
    </row>
    <row r="162" ht="15.75" customHeight="1">
      <c r="C162" s="42"/>
      <c r="D162" s="42"/>
      <c r="E162" s="43"/>
      <c r="F162" s="44"/>
      <c r="G162" s="42"/>
      <c r="H162" s="45" t="str">
        <f>IF(COUNTA(C162:G162)=0,"",IF(AND(COUNTIF(Creditos!C6:C15,C162)=1,ISNUMBER(D162),D162&gt;=1,D162=INT(D162),D162&lt;=SUMIF(Creditos!C6:C15,C162,Creditos!H6:H15),ISNUMBER(E162),E162&gt;0,ISNUMBER(F162),F162&gt;0),"OK","Revisar pago"))</f>
        <v/>
      </c>
    </row>
    <row r="163" ht="15.75" customHeight="1">
      <c r="C163" s="42"/>
      <c r="D163" s="42"/>
      <c r="E163" s="43"/>
      <c r="F163" s="44"/>
      <c r="G163" s="42"/>
      <c r="H163" s="45" t="str">
        <f>IF(COUNTA(C163:G163)=0,"",IF(AND(COUNTIF(Creditos!C6:C15,C163)=1,ISNUMBER(D163),D163&gt;=1,D163=INT(D163),D163&lt;=SUMIF(Creditos!C6:C15,C163,Creditos!H6:H15),ISNUMBER(E163),E163&gt;0,ISNUMBER(F163),F163&gt;0),"OK","Revisar pago"))</f>
        <v/>
      </c>
    </row>
    <row r="164" ht="15.75" customHeight="1">
      <c r="C164" s="42"/>
      <c r="D164" s="42"/>
      <c r="E164" s="43"/>
      <c r="F164" s="44"/>
      <c r="G164" s="42"/>
      <c r="H164" s="45" t="str">
        <f>IF(COUNTA(C164:G164)=0,"",IF(AND(COUNTIF(Creditos!C6:C15,C164)=1,ISNUMBER(D164),D164&gt;=1,D164=INT(D164),D164&lt;=SUMIF(Creditos!C6:C15,C164,Creditos!H6:H15),ISNUMBER(E164),E164&gt;0,ISNUMBER(F164),F164&gt;0),"OK","Revisar pago"))</f>
        <v/>
      </c>
    </row>
    <row r="165" ht="15.75" customHeight="1">
      <c r="C165" s="42"/>
      <c r="D165" s="42"/>
      <c r="E165" s="43"/>
      <c r="F165" s="44"/>
      <c r="G165" s="42"/>
      <c r="H165" s="45" t="str">
        <f>IF(COUNTA(C165:G165)=0,"",IF(AND(COUNTIF(Creditos!C6:C15,C165)=1,ISNUMBER(D165),D165&gt;=1,D165=INT(D165),D165&lt;=SUMIF(Creditos!C6:C15,C165,Creditos!H6:H15),ISNUMBER(E165),E165&gt;0,ISNUMBER(F165),F165&gt;0),"OK","Revisar pago"))</f>
        <v/>
      </c>
    </row>
    <row r="166" ht="15.75" customHeight="1">
      <c r="C166" s="42"/>
      <c r="D166" s="42"/>
      <c r="E166" s="43"/>
      <c r="F166" s="44"/>
      <c r="G166" s="42"/>
      <c r="H166" s="45" t="str">
        <f>IF(COUNTA(C166:G166)=0,"",IF(AND(COUNTIF(Creditos!C6:C15,C166)=1,ISNUMBER(D166),D166&gt;=1,D166=INT(D166),D166&lt;=SUMIF(Creditos!C6:C15,C166,Creditos!H6:H15),ISNUMBER(E166),E166&gt;0,ISNUMBER(F166),F166&gt;0),"OK","Revisar pago"))</f>
        <v/>
      </c>
    </row>
    <row r="167" ht="15.75" customHeight="1">
      <c r="C167" s="42"/>
      <c r="D167" s="42"/>
      <c r="E167" s="43"/>
      <c r="F167" s="44"/>
      <c r="G167" s="42"/>
      <c r="H167" s="45" t="str">
        <f>IF(COUNTA(C167:G167)=0,"",IF(AND(COUNTIF(Creditos!C6:C15,C167)=1,ISNUMBER(D167),D167&gt;=1,D167=INT(D167),D167&lt;=SUMIF(Creditos!C6:C15,C167,Creditos!H6:H15),ISNUMBER(E167),E167&gt;0,ISNUMBER(F167),F167&gt;0),"OK","Revisar pago"))</f>
        <v/>
      </c>
    </row>
    <row r="168" ht="15.75" customHeight="1">
      <c r="C168" s="42"/>
      <c r="D168" s="42"/>
      <c r="E168" s="43"/>
      <c r="F168" s="44"/>
      <c r="G168" s="42"/>
      <c r="H168" s="45" t="str">
        <f>IF(COUNTA(C168:G168)=0,"",IF(AND(COUNTIF(Creditos!C6:C15,C168)=1,ISNUMBER(D168),D168&gt;=1,D168=INT(D168),D168&lt;=SUMIF(Creditos!C6:C15,C168,Creditos!H6:H15),ISNUMBER(E168),E168&gt;0,ISNUMBER(F168),F168&gt;0),"OK","Revisar pago"))</f>
        <v/>
      </c>
    </row>
    <row r="169" ht="15.75" customHeight="1">
      <c r="C169" s="42"/>
      <c r="D169" s="42"/>
      <c r="E169" s="43"/>
      <c r="F169" s="44"/>
      <c r="G169" s="42"/>
      <c r="H169" s="45" t="str">
        <f>IF(COUNTA(C169:G169)=0,"",IF(AND(COUNTIF(Creditos!C6:C15,C169)=1,ISNUMBER(D169),D169&gt;=1,D169=INT(D169),D169&lt;=SUMIF(Creditos!C6:C15,C169,Creditos!H6:H15),ISNUMBER(E169),E169&gt;0,ISNUMBER(F169),F169&gt;0),"OK","Revisar pago"))</f>
        <v/>
      </c>
    </row>
    <row r="170" ht="15.75" customHeight="1">
      <c r="C170" s="42"/>
      <c r="D170" s="42"/>
      <c r="E170" s="43"/>
      <c r="F170" s="44"/>
      <c r="G170" s="42"/>
      <c r="H170" s="45" t="str">
        <f>IF(COUNTA(C170:G170)=0,"",IF(AND(COUNTIF(Creditos!C6:C15,C170)=1,ISNUMBER(D170),D170&gt;=1,D170=INT(D170),D170&lt;=SUMIF(Creditos!C6:C15,C170,Creditos!H6:H15),ISNUMBER(E170),E170&gt;0,ISNUMBER(F170),F170&gt;0),"OK","Revisar pago"))</f>
        <v/>
      </c>
    </row>
    <row r="171" ht="15.75" customHeight="1">
      <c r="C171" s="42"/>
      <c r="D171" s="42"/>
      <c r="E171" s="43"/>
      <c r="F171" s="44"/>
      <c r="G171" s="42"/>
      <c r="H171" s="45" t="str">
        <f>IF(COUNTA(C171:G171)=0,"",IF(AND(COUNTIF(Creditos!C6:C15,C171)=1,ISNUMBER(D171),D171&gt;=1,D171=INT(D171),D171&lt;=SUMIF(Creditos!C6:C15,C171,Creditos!H6:H15),ISNUMBER(E171),E171&gt;0,ISNUMBER(F171),F171&gt;0),"OK","Revisar pago"))</f>
        <v/>
      </c>
    </row>
    <row r="172" ht="15.75" customHeight="1">
      <c r="C172" s="42"/>
      <c r="D172" s="42"/>
      <c r="E172" s="43"/>
      <c r="F172" s="44"/>
      <c r="G172" s="42"/>
      <c r="H172" s="45" t="str">
        <f>IF(COUNTA(C172:G172)=0,"",IF(AND(COUNTIF(Creditos!C6:C15,C172)=1,ISNUMBER(D172),D172&gt;=1,D172=INT(D172),D172&lt;=SUMIF(Creditos!C6:C15,C172,Creditos!H6:H15),ISNUMBER(E172),E172&gt;0,ISNUMBER(F172),F172&gt;0),"OK","Revisar pago"))</f>
        <v/>
      </c>
    </row>
    <row r="173" ht="15.75" customHeight="1">
      <c r="C173" s="42"/>
      <c r="D173" s="42"/>
      <c r="E173" s="43"/>
      <c r="F173" s="44"/>
      <c r="G173" s="42"/>
      <c r="H173" s="45" t="str">
        <f>IF(COUNTA(C173:G173)=0,"",IF(AND(COUNTIF(Creditos!C6:C15,C173)=1,ISNUMBER(D173),D173&gt;=1,D173=INT(D173),D173&lt;=SUMIF(Creditos!C6:C15,C173,Creditos!H6:H15),ISNUMBER(E173),E173&gt;0,ISNUMBER(F173),F173&gt;0),"OK","Revisar pago"))</f>
        <v/>
      </c>
    </row>
    <row r="174" ht="15.75" customHeight="1">
      <c r="C174" s="42"/>
      <c r="D174" s="42"/>
      <c r="E174" s="43"/>
      <c r="F174" s="44"/>
      <c r="G174" s="42"/>
      <c r="H174" s="45" t="str">
        <f>IF(COUNTA(C174:G174)=0,"",IF(AND(COUNTIF(Creditos!C6:C15,C174)=1,ISNUMBER(D174),D174&gt;=1,D174=INT(D174),D174&lt;=SUMIF(Creditos!C6:C15,C174,Creditos!H6:H15),ISNUMBER(E174),E174&gt;0,ISNUMBER(F174),F174&gt;0),"OK","Revisar pago"))</f>
        <v/>
      </c>
    </row>
    <row r="175" ht="15.75" customHeight="1">
      <c r="C175" s="42"/>
      <c r="D175" s="42"/>
      <c r="E175" s="43"/>
      <c r="F175" s="44"/>
      <c r="G175" s="42"/>
      <c r="H175" s="45" t="str">
        <f>IF(COUNTA(C175:G175)=0,"",IF(AND(COUNTIF(Creditos!C6:C15,C175)=1,ISNUMBER(D175),D175&gt;=1,D175=INT(D175),D175&lt;=SUMIF(Creditos!C6:C15,C175,Creditos!H6:H15),ISNUMBER(E175),E175&gt;0,ISNUMBER(F175),F175&gt;0),"OK","Revisar pago"))</f>
        <v/>
      </c>
    </row>
    <row r="176" ht="15.75" customHeight="1">
      <c r="C176" s="42"/>
      <c r="D176" s="42"/>
      <c r="E176" s="43"/>
      <c r="F176" s="44"/>
      <c r="G176" s="42"/>
      <c r="H176" s="45" t="str">
        <f>IF(COUNTA(C176:G176)=0,"",IF(AND(COUNTIF(Creditos!C6:C15,C176)=1,ISNUMBER(D176),D176&gt;=1,D176=INT(D176),D176&lt;=SUMIF(Creditos!C6:C15,C176,Creditos!H6:H15),ISNUMBER(E176),E176&gt;0,ISNUMBER(F176),F176&gt;0),"OK","Revisar pago"))</f>
        <v/>
      </c>
    </row>
    <row r="177" ht="15.75" customHeight="1">
      <c r="C177" s="42"/>
      <c r="D177" s="42"/>
      <c r="E177" s="43"/>
      <c r="F177" s="44"/>
      <c r="G177" s="42"/>
      <c r="H177" s="45" t="str">
        <f>IF(COUNTA(C177:G177)=0,"",IF(AND(COUNTIF(Creditos!C6:C15,C177)=1,ISNUMBER(D177),D177&gt;=1,D177=INT(D177),D177&lt;=SUMIF(Creditos!C6:C15,C177,Creditos!H6:H15),ISNUMBER(E177),E177&gt;0,ISNUMBER(F177),F177&gt;0),"OK","Revisar pago"))</f>
        <v/>
      </c>
    </row>
    <row r="178" ht="15.75" customHeight="1">
      <c r="C178" s="42"/>
      <c r="D178" s="42"/>
      <c r="E178" s="43"/>
      <c r="F178" s="44"/>
      <c r="G178" s="42"/>
      <c r="H178" s="45" t="str">
        <f>IF(COUNTA(C178:G178)=0,"",IF(AND(COUNTIF(Creditos!C6:C15,C178)=1,ISNUMBER(D178),D178&gt;=1,D178=INT(D178),D178&lt;=SUMIF(Creditos!C6:C15,C178,Creditos!H6:H15),ISNUMBER(E178),E178&gt;0,ISNUMBER(F178),F178&gt;0),"OK","Revisar pago"))</f>
        <v/>
      </c>
    </row>
    <row r="179" ht="15.75" customHeight="1">
      <c r="C179" s="42"/>
      <c r="D179" s="42"/>
      <c r="E179" s="43"/>
      <c r="F179" s="44"/>
      <c r="G179" s="42"/>
      <c r="H179" s="45" t="str">
        <f>IF(COUNTA(C179:G179)=0,"",IF(AND(COUNTIF(Creditos!C6:C15,C179)=1,ISNUMBER(D179),D179&gt;=1,D179=INT(D179),D179&lt;=SUMIF(Creditos!C6:C15,C179,Creditos!H6:H15),ISNUMBER(E179),E179&gt;0,ISNUMBER(F179),F179&gt;0),"OK","Revisar pago"))</f>
        <v/>
      </c>
    </row>
    <row r="180" ht="15.75" customHeight="1">
      <c r="C180" s="42"/>
      <c r="D180" s="42"/>
      <c r="E180" s="43"/>
      <c r="F180" s="44"/>
      <c r="G180" s="42"/>
      <c r="H180" s="45" t="str">
        <f>IF(COUNTA(C180:G180)=0,"",IF(AND(COUNTIF(Creditos!C6:C15,C180)=1,ISNUMBER(D180),D180&gt;=1,D180=INT(D180),D180&lt;=SUMIF(Creditos!C6:C15,C180,Creditos!H6:H15),ISNUMBER(E180),E180&gt;0,ISNUMBER(F180),F180&gt;0),"OK","Revisar pago"))</f>
        <v/>
      </c>
    </row>
    <row r="181" ht="15.75" customHeight="1">
      <c r="C181" s="42"/>
      <c r="D181" s="42"/>
      <c r="E181" s="43"/>
      <c r="F181" s="44"/>
      <c r="G181" s="42"/>
      <c r="H181" s="45" t="str">
        <f>IF(COUNTA(C181:G181)=0,"",IF(AND(COUNTIF(Creditos!C6:C15,C181)=1,ISNUMBER(D181),D181&gt;=1,D181=INT(D181),D181&lt;=SUMIF(Creditos!C6:C15,C181,Creditos!H6:H15),ISNUMBER(E181),E181&gt;0,ISNUMBER(F181),F181&gt;0),"OK","Revisar pago"))</f>
        <v/>
      </c>
    </row>
    <row r="182" ht="15.75" customHeight="1">
      <c r="C182" s="42"/>
      <c r="D182" s="42"/>
      <c r="E182" s="43"/>
      <c r="F182" s="44"/>
      <c r="G182" s="42"/>
      <c r="H182" s="45" t="str">
        <f>IF(COUNTA(C182:G182)=0,"",IF(AND(COUNTIF(Creditos!C6:C15,C182)=1,ISNUMBER(D182),D182&gt;=1,D182=INT(D182),D182&lt;=SUMIF(Creditos!C6:C15,C182,Creditos!H6:H15),ISNUMBER(E182),E182&gt;0,ISNUMBER(F182),F182&gt;0),"OK","Revisar pago"))</f>
        <v/>
      </c>
    </row>
    <row r="183" ht="15.75" customHeight="1">
      <c r="C183" s="42"/>
      <c r="D183" s="42"/>
      <c r="E183" s="43"/>
      <c r="F183" s="44"/>
      <c r="G183" s="42"/>
      <c r="H183" s="45" t="str">
        <f>IF(COUNTA(C183:G183)=0,"",IF(AND(COUNTIF(Creditos!C6:C15,C183)=1,ISNUMBER(D183),D183&gt;=1,D183=INT(D183),D183&lt;=SUMIF(Creditos!C6:C15,C183,Creditos!H6:H15),ISNUMBER(E183),E183&gt;0,ISNUMBER(F183),F183&gt;0),"OK","Revisar pago"))</f>
        <v/>
      </c>
    </row>
    <row r="184" ht="15.75" customHeight="1">
      <c r="C184" s="42"/>
      <c r="D184" s="42"/>
      <c r="E184" s="43"/>
      <c r="F184" s="44"/>
      <c r="G184" s="42"/>
      <c r="H184" s="45" t="str">
        <f>IF(COUNTA(C184:G184)=0,"",IF(AND(COUNTIF(Creditos!C6:C15,C184)=1,ISNUMBER(D184),D184&gt;=1,D184=INT(D184),D184&lt;=SUMIF(Creditos!C6:C15,C184,Creditos!H6:H15),ISNUMBER(E184),E184&gt;0,ISNUMBER(F184),F184&gt;0),"OK","Revisar pago"))</f>
        <v/>
      </c>
    </row>
    <row r="185" ht="15.75" customHeight="1">
      <c r="C185" s="42"/>
      <c r="D185" s="42"/>
      <c r="E185" s="43"/>
      <c r="F185" s="44"/>
      <c r="G185" s="42"/>
      <c r="H185" s="45" t="str">
        <f>IF(COUNTA(C185:G185)=0,"",IF(AND(COUNTIF(Creditos!C6:C15,C185)=1,ISNUMBER(D185),D185&gt;=1,D185=INT(D185),D185&lt;=SUMIF(Creditos!C6:C15,C185,Creditos!H6:H15),ISNUMBER(E185),E185&gt;0,ISNUMBER(F185),F185&gt;0),"OK","Revisar pago"))</f>
        <v/>
      </c>
    </row>
    <row r="186" ht="15.75" customHeight="1">
      <c r="C186" s="42"/>
      <c r="D186" s="42"/>
      <c r="E186" s="43"/>
      <c r="F186" s="44"/>
      <c r="G186" s="42"/>
      <c r="H186" s="45" t="str">
        <f>IF(COUNTA(C186:G186)=0,"",IF(AND(COUNTIF(Creditos!C6:C15,C186)=1,ISNUMBER(D186),D186&gt;=1,D186=INT(D186),D186&lt;=SUMIF(Creditos!C6:C15,C186,Creditos!H6:H15),ISNUMBER(E186),E186&gt;0,ISNUMBER(F186),F186&gt;0),"OK","Revisar pago"))</f>
        <v/>
      </c>
    </row>
    <row r="187" ht="15.75" customHeight="1">
      <c r="C187" s="42"/>
      <c r="D187" s="42"/>
      <c r="E187" s="43"/>
      <c r="F187" s="44"/>
      <c r="G187" s="42"/>
      <c r="H187" s="45" t="str">
        <f>IF(COUNTA(C187:G187)=0,"",IF(AND(COUNTIF(Creditos!C6:C15,C187)=1,ISNUMBER(D187),D187&gt;=1,D187=INT(D187),D187&lt;=SUMIF(Creditos!C6:C15,C187,Creditos!H6:H15),ISNUMBER(E187),E187&gt;0,ISNUMBER(F187),F187&gt;0),"OK","Revisar pago"))</f>
        <v/>
      </c>
    </row>
    <row r="188" ht="15.75" customHeight="1">
      <c r="C188" s="42"/>
      <c r="D188" s="42"/>
      <c r="E188" s="43"/>
      <c r="F188" s="44"/>
      <c r="G188" s="42"/>
      <c r="H188" s="45" t="str">
        <f>IF(COUNTA(C188:G188)=0,"",IF(AND(COUNTIF(Creditos!C6:C15,C188)=1,ISNUMBER(D188),D188&gt;=1,D188=INT(D188),D188&lt;=SUMIF(Creditos!C6:C15,C188,Creditos!H6:H15),ISNUMBER(E188),E188&gt;0,ISNUMBER(F188),F188&gt;0),"OK","Revisar pago"))</f>
        <v/>
      </c>
    </row>
    <row r="189" ht="15.75" customHeight="1">
      <c r="C189" s="42"/>
      <c r="D189" s="42"/>
      <c r="E189" s="43"/>
      <c r="F189" s="44"/>
      <c r="G189" s="42"/>
      <c r="H189" s="45" t="str">
        <f>IF(COUNTA(C189:G189)=0,"",IF(AND(COUNTIF(Creditos!C6:C15,C189)=1,ISNUMBER(D189),D189&gt;=1,D189=INT(D189),D189&lt;=SUMIF(Creditos!C6:C15,C189,Creditos!H6:H15),ISNUMBER(E189),E189&gt;0,ISNUMBER(F189),F189&gt;0),"OK","Revisar pago"))</f>
        <v/>
      </c>
    </row>
    <row r="190" ht="15.75" customHeight="1">
      <c r="C190" s="42"/>
      <c r="D190" s="42"/>
      <c r="E190" s="43"/>
      <c r="F190" s="44"/>
      <c r="G190" s="42"/>
      <c r="H190" s="45" t="str">
        <f>IF(COUNTA(C190:G190)=0,"",IF(AND(COUNTIF(Creditos!C6:C15,C190)=1,ISNUMBER(D190),D190&gt;=1,D190=INT(D190),D190&lt;=SUMIF(Creditos!C6:C15,C190,Creditos!H6:H15),ISNUMBER(E190),E190&gt;0,ISNUMBER(F190),F190&gt;0),"OK","Revisar pago"))</f>
        <v/>
      </c>
    </row>
    <row r="191" ht="15.75" customHeight="1">
      <c r="C191" s="42"/>
      <c r="D191" s="42"/>
      <c r="E191" s="43"/>
      <c r="F191" s="44"/>
      <c r="G191" s="42"/>
      <c r="H191" s="45" t="str">
        <f>IF(COUNTA(C191:G191)=0,"",IF(AND(COUNTIF(Creditos!C6:C15,C191)=1,ISNUMBER(D191),D191&gt;=1,D191=INT(D191),D191&lt;=SUMIF(Creditos!C6:C15,C191,Creditos!H6:H15),ISNUMBER(E191),E191&gt;0,ISNUMBER(F191),F191&gt;0),"OK","Revisar pago"))</f>
        <v/>
      </c>
    </row>
    <row r="192" ht="15.75" customHeight="1">
      <c r="C192" s="42"/>
      <c r="D192" s="42"/>
      <c r="E192" s="43"/>
      <c r="F192" s="44"/>
      <c r="G192" s="42"/>
      <c r="H192" s="45" t="str">
        <f>IF(COUNTA(C192:G192)=0,"",IF(AND(COUNTIF(Creditos!C6:C15,C192)=1,ISNUMBER(D192),D192&gt;=1,D192=INT(D192),D192&lt;=SUMIF(Creditos!C6:C15,C192,Creditos!H6:H15),ISNUMBER(E192),E192&gt;0,ISNUMBER(F192),F192&gt;0),"OK","Revisar pago"))</f>
        <v/>
      </c>
    </row>
    <row r="193" ht="15.75" customHeight="1">
      <c r="C193" s="42"/>
      <c r="D193" s="42"/>
      <c r="E193" s="43"/>
      <c r="F193" s="44"/>
      <c r="G193" s="42"/>
      <c r="H193" s="45" t="str">
        <f>IF(COUNTA(C193:G193)=0,"",IF(AND(COUNTIF(Creditos!C6:C15,C193)=1,ISNUMBER(D193),D193&gt;=1,D193=INT(D193),D193&lt;=SUMIF(Creditos!C6:C15,C193,Creditos!H6:H15),ISNUMBER(E193),E193&gt;0,ISNUMBER(F193),F193&gt;0),"OK","Revisar pago"))</f>
        <v/>
      </c>
    </row>
    <row r="194" ht="15.75" customHeight="1">
      <c r="C194" s="42"/>
      <c r="D194" s="42"/>
      <c r="E194" s="43"/>
      <c r="F194" s="44"/>
      <c r="G194" s="42"/>
      <c r="H194" s="45" t="str">
        <f>IF(COUNTA(C194:G194)=0,"",IF(AND(COUNTIF(Creditos!C6:C15,C194)=1,ISNUMBER(D194),D194&gt;=1,D194=INT(D194),D194&lt;=SUMIF(Creditos!C6:C15,C194,Creditos!H6:H15),ISNUMBER(E194),E194&gt;0,ISNUMBER(F194),F194&gt;0),"OK","Revisar pago"))</f>
        <v/>
      </c>
    </row>
    <row r="195" ht="15.75" customHeight="1">
      <c r="C195" s="42"/>
      <c r="D195" s="42"/>
      <c r="E195" s="43"/>
      <c r="F195" s="44"/>
      <c r="G195" s="42"/>
      <c r="H195" s="45" t="str">
        <f>IF(COUNTA(C195:G195)=0,"",IF(AND(COUNTIF(Creditos!C6:C15,C195)=1,ISNUMBER(D195),D195&gt;=1,D195=INT(D195),D195&lt;=SUMIF(Creditos!C6:C15,C195,Creditos!H6:H15),ISNUMBER(E195),E195&gt;0,ISNUMBER(F195),F195&gt;0),"OK","Revisar pago"))</f>
        <v/>
      </c>
    </row>
    <row r="196" ht="15.75" customHeight="1">
      <c r="C196" s="42"/>
      <c r="D196" s="42"/>
      <c r="E196" s="43"/>
      <c r="F196" s="44"/>
      <c r="G196" s="42"/>
      <c r="H196" s="45" t="str">
        <f>IF(COUNTA(C196:G196)=0,"",IF(AND(COUNTIF(Creditos!C6:C15,C196)=1,ISNUMBER(D196),D196&gt;=1,D196=INT(D196),D196&lt;=SUMIF(Creditos!C6:C15,C196,Creditos!H6:H15),ISNUMBER(E196),E196&gt;0,ISNUMBER(F196),F196&gt;0),"OK","Revisar pago"))</f>
        <v/>
      </c>
    </row>
    <row r="197" ht="15.75" customHeight="1">
      <c r="C197" s="42"/>
      <c r="D197" s="42"/>
      <c r="E197" s="43"/>
      <c r="F197" s="44"/>
      <c r="G197" s="42"/>
      <c r="H197" s="45" t="str">
        <f>IF(COUNTA(C197:G197)=0,"",IF(AND(COUNTIF(Creditos!C6:C15,C197)=1,ISNUMBER(D197),D197&gt;=1,D197=INT(D197),D197&lt;=SUMIF(Creditos!C6:C15,C197,Creditos!H6:H15),ISNUMBER(E197),E197&gt;0,ISNUMBER(F197),F197&gt;0),"OK","Revisar pago"))</f>
        <v/>
      </c>
    </row>
    <row r="198" ht="15.75" customHeight="1">
      <c r="C198" s="42"/>
      <c r="D198" s="42"/>
      <c r="E198" s="43"/>
      <c r="F198" s="44"/>
      <c r="G198" s="42"/>
      <c r="H198" s="45" t="str">
        <f>IF(COUNTA(C198:G198)=0,"",IF(AND(COUNTIF(Creditos!C6:C15,C198)=1,ISNUMBER(D198),D198&gt;=1,D198=INT(D198),D198&lt;=SUMIF(Creditos!C6:C15,C198,Creditos!H6:H15),ISNUMBER(E198),E198&gt;0,ISNUMBER(F198),F198&gt;0),"OK","Revisar pago"))</f>
        <v/>
      </c>
    </row>
    <row r="199" ht="15.75" customHeight="1">
      <c r="C199" s="42"/>
      <c r="D199" s="42"/>
      <c r="E199" s="43"/>
      <c r="F199" s="44"/>
      <c r="G199" s="42"/>
      <c r="H199" s="45" t="str">
        <f>IF(COUNTA(C199:G199)=0,"",IF(AND(COUNTIF(Creditos!C6:C15,C199)=1,ISNUMBER(D199),D199&gt;=1,D199=INT(D199),D199&lt;=SUMIF(Creditos!C6:C15,C199,Creditos!H6:H15),ISNUMBER(E199),E199&gt;0,ISNUMBER(F199),F199&gt;0),"OK","Revisar pago"))</f>
        <v/>
      </c>
    </row>
    <row r="200" ht="15.75" customHeight="1">
      <c r="C200" s="42"/>
      <c r="D200" s="42"/>
      <c r="E200" s="43"/>
      <c r="F200" s="44"/>
      <c r="G200" s="42"/>
      <c r="H200" s="45" t="str">
        <f>IF(COUNTA(C200:G200)=0,"",IF(AND(COUNTIF(Creditos!C6:C15,C200)=1,ISNUMBER(D200),D200&gt;=1,D200=INT(D200),D200&lt;=SUMIF(Creditos!C6:C15,C200,Creditos!H6:H15),ISNUMBER(E200),E200&gt;0,ISNUMBER(F200),F200&gt;0),"OK","Revisar pago"))</f>
        <v/>
      </c>
    </row>
    <row r="201" ht="15.75" customHeight="1">
      <c r="C201" s="42"/>
      <c r="D201" s="42"/>
      <c r="E201" s="43"/>
      <c r="F201" s="44"/>
      <c r="G201" s="42"/>
      <c r="H201" s="45" t="str">
        <f>IF(COUNTA(C201:G201)=0,"",IF(AND(COUNTIF(Creditos!C6:C15,C201)=1,ISNUMBER(D201),D201&gt;=1,D201=INT(D201),D201&lt;=SUMIF(Creditos!C6:C15,C201,Creditos!H6:H15),ISNUMBER(E201),E201&gt;0,ISNUMBER(F201),F201&gt;0),"OK","Revisar pago"))</f>
        <v/>
      </c>
    </row>
    <row r="202" ht="15.75" customHeight="1">
      <c r="C202" s="42"/>
      <c r="D202" s="42"/>
      <c r="E202" s="43"/>
      <c r="F202" s="44"/>
      <c r="G202" s="42"/>
      <c r="H202" s="45" t="str">
        <f>IF(COUNTA(C202:G202)=0,"",IF(AND(COUNTIF(Creditos!C6:C15,C202)=1,ISNUMBER(D202),D202&gt;=1,D202=INT(D202),D202&lt;=SUMIF(Creditos!C6:C15,C202,Creditos!H6:H15),ISNUMBER(E202),E202&gt;0,ISNUMBER(F202),F202&gt;0),"OK","Revisar pago"))</f>
        <v/>
      </c>
    </row>
    <row r="203" ht="15.75" customHeight="1">
      <c r="C203" s="42"/>
      <c r="D203" s="42"/>
      <c r="E203" s="43"/>
      <c r="F203" s="44"/>
      <c r="G203" s="42"/>
      <c r="H203" s="45" t="str">
        <f>IF(COUNTA(C203:G203)=0,"",IF(AND(COUNTIF(Creditos!C6:C15,C203)=1,ISNUMBER(D203),D203&gt;=1,D203=INT(D203),D203&lt;=SUMIF(Creditos!C6:C15,C203,Creditos!H6:H15),ISNUMBER(E203),E203&gt;0,ISNUMBER(F203),F203&gt;0),"OK","Revisar pago"))</f>
        <v/>
      </c>
    </row>
    <row r="204" ht="15.75" customHeight="1">
      <c r="C204" s="42"/>
      <c r="D204" s="42"/>
      <c r="E204" s="43"/>
      <c r="F204" s="44"/>
      <c r="G204" s="42"/>
      <c r="H204" s="45" t="str">
        <f>IF(COUNTA(C204:G204)=0,"",IF(AND(COUNTIF(Creditos!C6:C15,C204)=1,ISNUMBER(D204),D204&gt;=1,D204=INT(D204),D204&lt;=SUMIF(Creditos!C6:C15,C204,Creditos!H6:H15),ISNUMBER(E204),E204&gt;0,ISNUMBER(F204),F204&gt;0),"OK","Revisar pago"))</f>
        <v/>
      </c>
    </row>
    <row r="205" ht="15.75" customHeight="1">
      <c r="C205" s="42"/>
      <c r="D205" s="42"/>
      <c r="E205" s="43"/>
      <c r="F205" s="44"/>
      <c r="G205" s="42"/>
      <c r="H205" s="45" t="str">
        <f>IF(COUNTA(C205:G205)=0,"",IF(AND(COUNTIF(Creditos!C6:C15,C205)=1,ISNUMBER(D205),D205&gt;=1,D205=INT(D205),D205&lt;=SUMIF(Creditos!C6:C15,C205,Creditos!H6:H15),ISNUMBER(E205),E205&gt;0,ISNUMBER(F205),F205&gt;0),"OK","Revisar pago"))</f>
        <v/>
      </c>
    </row>
    <row r="206" ht="15.75" customHeight="1">
      <c r="C206" s="42"/>
      <c r="D206" s="42"/>
      <c r="E206" s="43"/>
      <c r="F206" s="44"/>
      <c r="G206" s="42"/>
      <c r="H206" s="45" t="str">
        <f>IF(COUNTA(C206:G206)=0,"",IF(AND(COUNTIF(Creditos!C6:C15,C206)=1,ISNUMBER(D206),D206&gt;=1,D206=INT(D206),D206&lt;=SUMIF(Creditos!C6:C15,C206,Creditos!H6:H15),ISNUMBER(E206),E206&gt;0,ISNUMBER(F206),F206&gt;0),"OK","Revisar pago"))</f>
        <v/>
      </c>
    </row>
    <row r="207" ht="15.75" customHeight="1">
      <c r="C207" s="42"/>
      <c r="D207" s="42"/>
      <c r="E207" s="43"/>
      <c r="F207" s="44"/>
      <c r="G207" s="42"/>
      <c r="H207" s="45" t="str">
        <f>IF(COUNTA(C207:G207)=0,"",IF(AND(COUNTIF(Creditos!C6:C15,C207)=1,ISNUMBER(D207),D207&gt;=1,D207=INT(D207),D207&lt;=SUMIF(Creditos!C6:C15,C207,Creditos!H6:H15),ISNUMBER(E207),E207&gt;0,ISNUMBER(F207),F207&gt;0),"OK","Revisar pago"))</f>
        <v/>
      </c>
    </row>
    <row r="208" ht="15.75" customHeight="1">
      <c r="C208" s="42"/>
      <c r="D208" s="42"/>
      <c r="E208" s="43"/>
      <c r="F208" s="44"/>
      <c r="G208" s="42"/>
      <c r="H208" s="45" t="str">
        <f>IF(COUNTA(C208:G208)=0,"",IF(AND(COUNTIF(Creditos!C6:C15,C208)=1,ISNUMBER(D208),D208&gt;=1,D208=INT(D208),D208&lt;=SUMIF(Creditos!C6:C15,C208,Creditos!H6:H15),ISNUMBER(E208),E208&gt;0,ISNUMBER(F208),F208&gt;0),"OK","Revisar pago"))</f>
        <v/>
      </c>
    </row>
    <row r="209" ht="15.75" customHeight="1">
      <c r="C209" s="42"/>
      <c r="D209" s="42"/>
      <c r="E209" s="43"/>
      <c r="F209" s="44"/>
      <c r="G209" s="42"/>
      <c r="H209" s="45" t="str">
        <f>IF(COUNTA(C209:G209)=0,"",IF(AND(COUNTIF(Creditos!C6:C15,C209)=1,ISNUMBER(D209),D209&gt;=1,D209=INT(D209),D209&lt;=SUMIF(Creditos!C6:C15,C209,Creditos!H6:H15),ISNUMBER(E209),E209&gt;0,ISNUMBER(F209),F209&gt;0),"OK","Revisar pago"))</f>
        <v/>
      </c>
    </row>
    <row r="210" ht="15.75" customHeight="1">
      <c r="C210" s="42"/>
      <c r="D210" s="42"/>
      <c r="E210" s="43"/>
      <c r="F210" s="44"/>
      <c r="G210" s="42"/>
      <c r="H210" s="45" t="str">
        <f>IF(COUNTA(C210:G210)=0,"",IF(AND(COUNTIF(Creditos!C6:C15,C210)=1,ISNUMBER(D210),D210&gt;=1,D210=INT(D210),D210&lt;=SUMIF(Creditos!C6:C15,C210,Creditos!H6:H15),ISNUMBER(E210),E210&gt;0,ISNUMBER(F210),F210&gt;0),"OK","Revisar pago"))</f>
        <v/>
      </c>
    </row>
    <row r="211" ht="15.75" customHeight="1">
      <c r="C211" s="42"/>
      <c r="D211" s="42"/>
      <c r="E211" s="43"/>
      <c r="F211" s="44"/>
      <c r="G211" s="42"/>
      <c r="H211" s="45" t="str">
        <f>IF(COUNTA(C211:G211)=0,"",IF(AND(COUNTIF(Creditos!C6:C15,C211)=1,ISNUMBER(D211),D211&gt;=1,D211=INT(D211),D211&lt;=SUMIF(Creditos!C6:C15,C211,Creditos!H6:H15),ISNUMBER(E211),E211&gt;0,ISNUMBER(F211),F211&gt;0),"OK","Revisar pago"))</f>
        <v/>
      </c>
    </row>
    <row r="212" ht="15.75" customHeight="1">
      <c r="C212" s="42"/>
      <c r="D212" s="42"/>
      <c r="E212" s="43"/>
      <c r="F212" s="44"/>
      <c r="G212" s="42"/>
      <c r="H212" s="45" t="str">
        <f>IF(COUNTA(C212:G212)=0,"",IF(AND(COUNTIF(Creditos!C6:C15,C212)=1,ISNUMBER(D212),D212&gt;=1,D212=INT(D212),D212&lt;=SUMIF(Creditos!C6:C15,C212,Creditos!H6:H15),ISNUMBER(E212),E212&gt;0,ISNUMBER(F212),F212&gt;0),"OK","Revisar pago"))</f>
        <v/>
      </c>
    </row>
    <row r="213" ht="15.75" customHeight="1">
      <c r="C213" s="42"/>
      <c r="D213" s="42"/>
      <c r="E213" s="43"/>
      <c r="F213" s="44"/>
      <c r="G213" s="42"/>
      <c r="H213" s="45" t="str">
        <f>IF(COUNTA(C213:G213)=0,"",IF(AND(COUNTIF(Creditos!C6:C15,C213)=1,ISNUMBER(D213),D213&gt;=1,D213=INT(D213),D213&lt;=SUMIF(Creditos!C6:C15,C213,Creditos!H6:H15),ISNUMBER(E213),E213&gt;0,ISNUMBER(F213),F213&gt;0),"OK","Revisar pago"))</f>
        <v/>
      </c>
    </row>
    <row r="214" ht="15.75" customHeight="1">
      <c r="C214" s="42"/>
      <c r="D214" s="42"/>
      <c r="E214" s="43"/>
      <c r="F214" s="44"/>
      <c r="G214" s="42"/>
      <c r="H214" s="45" t="str">
        <f>IF(COUNTA(C214:G214)=0,"",IF(AND(COUNTIF(Creditos!C6:C15,C214)=1,ISNUMBER(D214),D214&gt;=1,D214=INT(D214),D214&lt;=SUMIF(Creditos!C6:C15,C214,Creditos!H6:H15),ISNUMBER(E214),E214&gt;0,ISNUMBER(F214),F214&gt;0),"OK","Revisar pago"))</f>
        <v/>
      </c>
    </row>
    <row r="215" ht="15.75" customHeight="1">
      <c r="C215" s="42"/>
      <c r="D215" s="42"/>
      <c r="E215" s="43"/>
      <c r="F215" s="44"/>
      <c r="G215" s="42"/>
      <c r="H215" s="45" t="str">
        <f>IF(COUNTA(C215:G215)=0,"",IF(AND(COUNTIF(Creditos!C6:C15,C215)=1,ISNUMBER(D215),D215&gt;=1,D215=INT(D215),D215&lt;=SUMIF(Creditos!C6:C15,C215,Creditos!H6:H15),ISNUMBER(E215),E215&gt;0,ISNUMBER(F215),F215&gt;0),"OK","Revisar pago"))</f>
        <v/>
      </c>
    </row>
    <row r="216" ht="15.75" customHeight="1">
      <c r="C216" s="42"/>
      <c r="D216" s="42"/>
      <c r="E216" s="43"/>
      <c r="F216" s="44"/>
      <c r="G216" s="42"/>
      <c r="H216" s="45" t="str">
        <f>IF(COUNTA(C216:G216)=0,"",IF(AND(COUNTIF(Creditos!C6:C15,C216)=1,ISNUMBER(D216),D216&gt;=1,D216=INT(D216),D216&lt;=SUMIF(Creditos!C6:C15,C216,Creditos!H6:H15),ISNUMBER(E216),E216&gt;0,ISNUMBER(F216),F216&gt;0),"OK","Revisar pago"))</f>
        <v/>
      </c>
    </row>
    <row r="217" ht="15.75" customHeight="1">
      <c r="C217" s="42"/>
      <c r="D217" s="42"/>
      <c r="E217" s="43"/>
      <c r="F217" s="44"/>
      <c r="G217" s="42"/>
      <c r="H217" s="45" t="str">
        <f>IF(COUNTA(C217:G217)=0,"",IF(AND(COUNTIF(Creditos!C6:C15,C217)=1,ISNUMBER(D217),D217&gt;=1,D217=INT(D217),D217&lt;=SUMIF(Creditos!C6:C15,C217,Creditos!H6:H15),ISNUMBER(E217),E217&gt;0,ISNUMBER(F217),F217&gt;0),"OK","Revisar pago"))</f>
        <v/>
      </c>
    </row>
    <row r="218" ht="15.75" customHeight="1">
      <c r="C218" s="42"/>
      <c r="D218" s="42"/>
      <c r="E218" s="43"/>
      <c r="F218" s="44"/>
      <c r="G218" s="42"/>
      <c r="H218" s="45" t="str">
        <f>IF(COUNTA(C218:G218)=0,"",IF(AND(COUNTIF(Creditos!C6:C15,C218)=1,ISNUMBER(D218),D218&gt;=1,D218=INT(D218),D218&lt;=SUMIF(Creditos!C6:C15,C218,Creditos!H6:H15),ISNUMBER(E218),E218&gt;0,ISNUMBER(F218),F218&gt;0),"OK","Revisar pago"))</f>
        <v/>
      </c>
    </row>
    <row r="219" ht="15.75" customHeight="1">
      <c r="C219" s="42"/>
      <c r="D219" s="42"/>
      <c r="E219" s="43"/>
      <c r="F219" s="44"/>
      <c r="G219" s="42"/>
      <c r="H219" s="45" t="str">
        <f>IF(COUNTA(C219:G219)=0,"",IF(AND(COUNTIF(Creditos!C6:C15,C219)=1,ISNUMBER(D219),D219&gt;=1,D219=INT(D219),D219&lt;=SUMIF(Creditos!C6:C15,C219,Creditos!H6:H15),ISNUMBER(E219),E219&gt;0,ISNUMBER(F219),F219&gt;0),"OK","Revisar pago"))</f>
        <v/>
      </c>
    </row>
    <row r="220" ht="15.75" customHeight="1">
      <c r="C220" s="42"/>
      <c r="D220" s="42"/>
      <c r="E220" s="43"/>
      <c r="F220" s="44"/>
      <c r="G220" s="42"/>
      <c r="H220" s="45" t="str">
        <f>IF(COUNTA(C220:G220)=0,"",IF(AND(COUNTIF(Creditos!C6:C15,C220)=1,ISNUMBER(D220),D220&gt;=1,D220=INT(D220),D220&lt;=SUMIF(Creditos!C6:C15,C220,Creditos!H6:H15),ISNUMBER(E220),E220&gt;0,ISNUMBER(F220),F220&gt;0),"OK","Revisar pago"))</f>
        <v/>
      </c>
    </row>
    <row r="221" ht="15.75" customHeight="1">
      <c r="C221" s="42"/>
      <c r="D221" s="42"/>
      <c r="E221" s="43"/>
      <c r="F221" s="44"/>
      <c r="G221" s="42"/>
      <c r="H221" s="45" t="str">
        <f>IF(COUNTA(C221:G221)=0,"",IF(AND(COUNTIF(Creditos!C6:C15,C221)=1,ISNUMBER(D221),D221&gt;=1,D221=INT(D221),D221&lt;=SUMIF(Creditos!C6:C15,C221,Creditos!H6:H15),ISNUMBER(E221),E221&gt;0,ISNUMBER(F221),F221&gt;0),"OK","Revisar pago"))</f>
        <v/>
      </c>
    </row>
    <row r="222" ht="15.75" customHeight="1">
      <c r="C222" s="42"/>
      <c r="D222" s="42"/>
      <c r="E222" s="43"/>
      <c r="F222" s="44"/>
      <c r="G222" s="42"/>
      <c r="H222" s="45" t="str">
        <f>IF(COUNTA(C222:G222)=0,"",IF(AND(COUNTIF(Creditos!C6:C15,C222)=1,ISNUMBER(D222),D222&gt;=1,D222=INT(D222),D222&lt;=SUMIF(Creditos!C6:C15,C222,Creditos!H6:H15),ISNUMBER(E222),E222&gt;0,ISNUMBER(F222),F222&gt;0),"OK","Revisar pago"))</f>
        <v/>
      </c>
    </row>
    <row r="223" ht="15.75" customHeight="1">
      <c r="C223" s="42"/>
      <c r="D223" s="42"/>
      <c r="E223" s="43"/>
      <c r="F223" s="44"/>
      <c r="G223" s="42"/>
      <c r="H223" s="45" t="str">
        <f>IF(COUNTA(C223:G223)=0,"",IF(AND(COUNTIF(Creditos!C6:C15,C223)=1,ISNUMBER(D223),D223&gt;=1,D223=INT(D223),D223&lt;=SUMIF(Creditos!C6:C15,C223,Creditos!H6:H15),ISNUMBER(E223),E223&gt;0,ISNUMBER(F223),F223&gt;0),"OK","Revisar pago"))</f>
        <v/>
      </c>
    </row>
    <row r="224" ht="15.75" customHeight="1">
      <c r="C224" s="42"/>
      <c r="D224" s="42"/>
      <c r="E224" s="43"/>
      <c r="F224" s="44"/>
      <c r="G224" s="42"/>
      <c r="H224" s="45" t="str">
        <f>IF(COUNTA(C224:G224)=0,"",IF(AND(COUNTIF(Creditos!C6:C15,C224)=1,ISNUMBER(D224),D224&gt;=1,D224=INT(D224),D224&lt;=SUMIF(Creditos!C6:C15,C224,Creditos!H6:H15),ISNUMBER(E224),E224&gt;0,ISNUMBER(F224),F224&gt;0),"OK","Revisar pago"))</f>
        <v/>
      </c>
    </row>
    <row r="225" ht="15.75" customHeight="1">
      <c r="C225" s="42"/>
      <c r="D225" s="42"/>
      <c r="E225" s="43"/>
      <c r="F225" s="44"/>
      <c r="G225" s="42"/>
      <c r="H225" s="45" t="str">
        <f>IF(COUNTA(C225:G225)=0,"",IF(AND(COUNTIF(Creditos!C6:C15,C225)=1,ISNUMBER(D225),D225&gt;=1,D225=INT(D225),D225&lt;=SUMIF(Creditos!C6:C15,C225,Creditos!H6:H15),ISNUMBER(E225),E225&gt;0,ISNUMBER(F225),F225&gt;0),"OK","Revisar pago"))</f>
        <v/>
      </c>
    </row>
    <row r="226" ht="15.75" customHeight="1">
      <c r="C226" s="42"/>
      <c r="D226" s="42"/>
      <c r="E226" s="43"/>
      <c r="F226" s="44"/>
      <c r="G226" s="42"/>
      <c r="H226" s="45" t="str">
        <f>IF(COUNTA(C226:G226)=0,"",IF(AND(COUNTIF(Creditos!C6:C15,C226)=1,ISNUMBER(D226),D226&gt;=1,D226=INT(D226),D226&lt;=SUMIF(Creditos!C6:C15,C226,Creditos!H6:H15),ISNUMBER(E226),E226&gt;0,ISNUMBER(F226),F226&gt;0),"OK","Revisar pago"))</f>
        <v/>
      </c>
    </row>
    <row r="227" ht="15.75" customHeight="1">
      <c r="C227" s="42"/>
      <c r="D227" s="42"/>
      <c r="E227" s="43"/>
      <c r="F227" s="44"/>
      <c r="G227" s="42"/>
      <c r="H227" s="45" t="str">
        <f>IF(COUNTA(C227:G227)=0,"",IF(AND(COUNTIF(Creditos!C6:C15,C227)=1,ISNUMBER(D227),D227&gt;=1,D227=INT(D227),D227&lt;=SUMIF(Creditos!C6:C15,C227,Creditos!H6:H15),ISNUMBER(E227),E227&gt;0,ISNUMBER(F227),F227&gt;0),"OK","Revisar pago"))</f>
        <v/>
      </c>
    </row>
    <row r="228" ht="15.75" customHeight="1">
      <c r="C228" s="42"/>
      <c r="D228" s="42"/>
      <c r="E228" s="43"/>
      <c r="F228" s="44"/>
      <c r="G228" s="42"/>
      <c r="H228" s="45" t="str">
        <f>IF(COUNTA(C228:G228)=0,"",IF(AND(COUNTIF(Creditos!C6:C15,C228)=1,ISNUMBER(D228),D228&gt;=1,D228=INT(D228),D228&lt;=SUMIF(Creditos!C6:C15,C228,Creditos!H6:H15),ISNUMBER(E228),E228&gt;0,ISNUMBER(F228),F228&gt;0),"OK","Revisar pago"))</f>
        <v/>
      </c>
    </row>
    <row r="229" ht="15.75" customHeight="1">
      <c r="C229" s="42"/>
      <c r="D229" s="42"/>
      <c r="E229" s="43"/>
      <c r="F229" s="44"/>
      <c r="G229" s="42"/>
      <c r="H229" s="45" t="str">
        <f>IF(COUNTA(C229:G229)=0,"",IF(AND(COUNTIF(Creditos!C6:C15,C229)=1,ISNUMBER(D229),D229&gt;=1,D229=INT(D229),D229&lt;=SUMIF(Creditos!C6:C15,C229,Creditos!H6:H15),ISNUMBER(E229),E229&gt;0,ISNUMBER(F229),F229&gt;0),"OK","Revisar pago"))</f>
        <v/>
      </c>
    </row>
    <row r="230" ht="15.75" customHeight="1">
      <c r="C230" s="42"/>
      <c r="D230" s="42"/>
      <c r="E230" s="43"/>
      <c r="F230" s="44"/>
      <c r="G230" s="42"/>
      <c r="H230" s="45" t="str">
        <f>IF(COUNTA(C230:G230)=0,"",IF(AND(COUNTIF(Creditos!C6:C15,C230)=1,ISNUMBER(D230),D230&gt;=1,D230=INT(D230),D230&lt;=SUMIF(Creditos!C6:C15,C230,Creditos!H6:H15),ISNUMBER(E230),E230&gt;0,ISNUMBER(F230),F230&gt;0),"OK","Revisar pago"))</f>
        <v/>
      </c>
    </row>
    <row r="231" ht="15.75" customHeight="1">
      <c r="C231" s="42"/>
      <c r="D231" s="42"/>
      <c r="E231" s="43"/>
      <c r="F231" s="44"/>
      <c r="G231" s="42"/>
      <c r="H231" s="45" t="str">
        <f>IF(COUNTA(C231:G231)=0,"",IF(AND(COUNTIF(Creditos!C6:C15,C231)=1,ISNUMBER(D231),D231&gt;=1,D231=INT(D231),D231&lt;=SUMIF(Creditos!C6:C15,C231,Creditos!H6:H15),ISNUMBER(E231),E231&gt;0,ISNUMBER(F231),F231&gt;0),"OK","Revisar pago"))</f>
        <v/>
      </c>
    </row>
    <row r="232" ht="15.75" customHeight="1">
      <c r="C232" s="42"/>
      <c r="D232" s="42"/>
      <c r="E232" s="43"/>
      <c r="F232" s="44"/>
      <c r="G232" s="42"/>
      <c r="H232" s="45" t="str">
        <f>IF(COUNTA(C232:G232)=0,"",IF(AND(COUNTIF(Creditos!C6:C15,C232)=1,ISNUMBER(D232),D232&gt;=1,D232=INT(D232),D232&lt;=SUMIF(Creditos!C6:C15,C232,Creditos!H6:H15),ISNUMBER(E232),E232&gt;0,ISNUMBER(F232),F232&gt;0),"OK","Revisar pago"))</f>
        <v/>
      </c>
    </row>
    <row r="233" ht="15.75" customHeight="1">
      <c r="C233" s="42"/>
      <c r="D233" s="42"/>
      <c r="E233" s="43"/>
      <c r="F233" s="44"/>
      <c r="G233" s="42"/>
      <c r="H233" s="45" t="str">
        <f>IF(COUNTA(C233:G233)=0,"",IF(AND(COUNTIF(Creditos!C6:C15,C233)=1,ISNUMBER(D233),D233&gt;=1,D233=INT(D233),D233&lt;=SUMIF(Creditos!C6:C15,C233,Creditos!H6:H15),ISNUMBER(E233),E233&gt;0,ISNUMBER(F233),F233&gt;0),"OK","Revisar pago"))</f>
        <v/>
      </c>
    </row>
    <row r="234" ht="15.75" customHeight="1">
      <c r="C234" s="42"/>
      <c r="D234" s="42"/>
      <c r="E234" s="43"/>
      <c r="F234" s="44"/>
      <c r="G234" s="42"/>
      <c r="H234" s="45" t="str">
        <f>IF(COUNTA(C234:G234)=0,"",IF(AND(COUNTIF(Creditos!C6:C15,C234)=1,ISNUMBER(D234),D234&gt;=1,D234=INT(D234),D234&lt;=SUMIF(Creditos!C6:C15,C234,Creditos!H6:H15),ISNUMBER(E234),E234&gt;0,ISNUMBER(F234),F234&gt;0),"OK","Revisar pago"))</f>
        <v/>
      </c>
    </row>
    <row r="235" ht="15.75" customHeight="1">
      <c r="C235" s="42"/>
      <c r="D235" s="42"/>
      <c r="E235" s="43"/>
      <c r="F235" s="44"/>
      <c r="G235" s="42"/>
      <c r="H235" s="45" t="str">
        <f>IF(COUNTA(C235:G235)=0,"",IF(AND(COUNTIF(Creditos!C6:C15,C235)=1,ISNUMBER(D235),D235&gt;=1,D235=INT(D235),D235&lt;=SUMIF(Creditos!C6:C15,C235,Creditos!H6:H15),ISNUMBER(E235),E235&gt;0,ISNUMBER(F235),F235&gt;0),"OK","Revisar pago"))</f>
        <v/>
      </c>
    </row>
    <row r="236" ht="15.75" customHeight="1">
      <c r="C236" s="42"/>
      <c r="D236" s="42"/>
      <c r="E236" s="43"/>
      <c r="F236" s="44"/>
      <c r="G236" s="42"/>
      <c r="H236" s="45" t="str">
        <f>IF(COUNTA(C236:G236)=0,"",IF(AND(COUNTIF(Creditos!C6:C15,C236)=1,ISNUMBER(D236),D236&gt;=1,D236=INT(D236),D236&lt;=SUMIF(Creditos!C6:C15,C236,Creditos!H6:H15),ISNUMBER(E236),E236&gt;0,ISNUMBER(F236),F236&gt;0),"OK","Revisar pago"))</f>
        <v/>
      </c>
    </row>
    <row r="237" ht="15.75" customHeight="1">
      <c r="C237" s="42"/>
      <c r="D237" s="42"/>
      <c r="E237" s="43"/>
      <c r="F237" s="44"/>
      <c r="G237" s="42"/>
      <c r="H237" s="45" t="str">
        <f>IF(COUNTA(C237:G237)=0,"",IF(AND(COUNTIF(Creditos!C6:C15,C237)=1,ISNUMBER(D237),D237&gt;=1,D237=INT(D237),D237&lt;=SUMIF(Creditos!C6:C15,C237,Creditos!H6:H15),ISNUMBER(E237),E237&gt;0,ISNUMBER(F237),F237&gt;0),"OK","Revisar pago"))</f>
        <v/>
      </c>
    </row>
    <row r="238" ht="15.75" customHeight="1">
      <c r="C238" s="42"/>
      <c r="D238" s="42"/>
      <c r="E238" s="43"/>
      <c r="F238" s="44"/>
      <c r="G238" s="42"/>
      <c r="H238" s="45" t="str">
        <f>IF(COUNTA(C238:G238)=0,"",IF(AND(COUNTIF(Creditos!C6:C15,C238)=1,ISNUMBER(D238),D238&gt;=1,D238=INT(D238),D238&lt;=SUMIF(Creditos!C6:C15,C238,Creditos!H6:H15),ISNUMBER(E238),E238&gt;0,ISNUMBER(F238),F238&gt;0),"OK","Revisar pago"))</f>
        <v/>
      </c>
    </row>
    <row r="239" ht="15.75" customHeight="1">
      <c r="C239" s="42"/>
      <c r="D239" s="42"/>
      <c r="E239" s="43"/>
      <c r="F239" s="44"/>
      <c r="G239" s="42"/>
      <c r="H239" s="45" t="str">
        <f>IF(COUNTA(C239:G239)=0,"",IF(AND(COUNTIF(Creditos!C6:C15,C239)=1,ISNUMBER(D239),D239&gt;=1,D239=INT(D239),D239&lt;=SUMIF(Creditos!C6:C15,C239,Creditos!H6:H15),ISNUMBER(E239),E239&gt;0,ISNUMBER(F239),F239&gt;0),"OK","Revisar pago"))</f>
        <v/>
      </c>
    </row>
    <row r="240" ht="15.75" customHeight="1">
      <c r="C240" s="42"/>
      <c r="D240" s="42"/>
      <c r="E240" s="43"/>
      <c r="F240" s="44"/>
      <c r="G240" s="42"/>
      <c r="H240" s="45" t="str">
        <f>IF(COUNTA(C240:G240)=0,"",IF(AND(COUNTIF(Creditos!C6:C15,C240)=1,ISNUMBER(D240),D240&gt;=1,D240=INT(D240),D240&lt;=SUMIF(Creditos!C6:C15,C240,Creditos!H6:H15),ISNUMBER(E240),E240&gt;0,ISNUMBER(F240),F240&gt;0),"OK","Revisar pago"))</f>
        <v/>
      </c>
    </row>
    <row r="241" ht="15.75" customHeight="1">
      <c r="C241" s="42"/>
      <c r="D241" s="42"/>
      <c r="E241" s="43"/>
      <c r="F241" s="44"/>
      <c r="G241" s="42"/>
      <c r="H241" s="45" t="str">
        <f>IF(COUNTA(C241:G241)=0,"",IF(AND(COUNTIF(Creditos!C6:C15,C241)=1,ISNUMBER(D241),D241&gt;=1,D241=INT(D241),D241&lt;=SUMIF(Creditos!C6:C15,C241,Creditos!H6:H15),ISNUMBER(E241),E241&gt;0,ISNUMBER(F241),F241&gt;0),"OK","Revisar pago"))</f>
        <v/>
      </c>
    </row>
    <row r="242" ht="15.75" customHeight="1">
      <c r="C242" s="42"/>
      <c r="D242" s="42"/>
      <c r="E242" s="43"/>
      <c r="F242" s="44"/>
      <c r="G242" s="42"/>
      <c r="H242" s="45" t="str">
        <f>IF(COUNTA(C242:G242)=0,"",IF(AND(COUNTIF(Creditos!C6:C15,C242)=1,ISNUMBER(D242),D242&gt;=1,D242=INT(D242),D242&lt;=SUMIF(Creditos!C6:C15,C242,Creditos!H6:H15),ISNUMBER(E242),E242&gt;0,ISNUMBER(F242),F242&gt;0),"OK","Revisar pago"))</f>
        <v/>
      </c>
    </row>
    <row r="243" ht="15.75" customHeight="1">
      <c r="C243" s="42"/>
      <c r="D243" s="42"/>
      <c r="E243" s="43"/>
      <c r="F243" s="44"/>
      <c r="G243" s="42"/>
      <c r="H243" s="45" t="str">
        <f>IF(COUNTA(C243:G243)=0,"",IF(AND(COUNTIF(Creditos!C6:C15,C243)=1,ISNUMBER(D243),D243&gt;=1,D243=INT(D243),D243&lt;=SUMIF(Creditos!C6:C15,C243,Creditos!H6:H15),ISNUMBER(E243),E243&gt;0,ISNUMBER(F243),F243&gt;0),"OK","Revisar pago"))</f>
        <v/>
      </c>
    </row>
    <row r="244" ht="15.75" customHeight="1">
      <c r="C244" s="42"/>
      <c r="D244" s="42"/>
      <c r="E244" s="43"/>
      <c r="F244" s="44"/>
      <c r="G244" s="42"/>
      <c r="H244" s="45" t="str">
        <f>IF(COUNTA(C244:G244)=0,"",IF(AND(COUNTIF(Creditos!C6:C15,C244)=1,ISNUMBER(D244),D244&gt;=1,D244=INT(D244),D244&lt;=SUMIF(Creditos!C6:C15,C244,Creditos!H6:H15),ISNUMBER(E244),E244&gt;0,ISNUMBER(F244),F244&gt;0),"OK","Revisar pago"))</f>
        <v/>
      </c>
    </row>
    <row r="245" ht="15.75" customHeight="1">
      <c r="C245" s="42"/>
      <c r="D245" s="42"/>
      <c r="E245" s="43"/>
      <c r="F245" s="44"/>
      <c r="G245" s="42"/>
      <c r="H245" s="45" t="str">
        <f>IF(COUNTA(C245:G245)=0,"",IF(AND(COUNTIF(Creditos!C6:C15,C245)=1,ISNUMBER(D245),D245&gt;=1,D245=INT(D245),D245&lt;=SUMIF(Creditos!C6:C15,C245,Creditos!H6:H15),ISNUMBER(E245),E245&gt;0,ISNUMBER(F245),F245&gt;0),"OK","Revisar pago"))</f>
        <v/>
      </c>
    </row>
    <row r="246" ht="15.75" customHeight="1">
      <c r="C246" s="42"/>
      <c r="D246" s="42"/>
      <c r="E246" s="43"/>
      <c r="F246" s="44"/>
      <c r="G246" s="42"/>
      <c r="H246" s="45" t="str">
        <f>IF(COUNTA(C246:G246)=0,"",IF(AND(COUNTIF(Creditos!C6:C15,C246)=1,ISNUMBER(D246),D246&gt;=1,D246=INT(D246),D246&lt;=SUMIF(Creditos!C6:C15,C246,Creditos!H6:H15),ISNUMBER(E246),E246&gt;0,ISNUMBER(F246),F246&gt;0),"OK","Revisar pago"))</f>
        <v/>
      </c>
    </row>
    <row r="247" ht="15.75" customHeight="1">
      <c r="C247" s="42"/>
      <c r="D247" s="42"/>
      <c r="E247" s="43"/>
      <c r="F247" s="44"/>
      <c r="G247" s="42"/>
      <c r="H247" s="45" t="str">
        <f>IF(COUNTA(C247:G247)=0,"",IF(AND(COUNTIF(Creditos!C6:C15,C247)=1,ISNUMBER(D247),D247&gt;=1,D247=INT(D247),D247&lt;=SUMIF(Creditos!C6:C15,C247,Creditos!H6:H15),ISNUMBER(E247),E247&gt;0,ISNUMBER(F247),F247&gt;0),"OK","Revisar pago"))</f>
        <v/>
      </c>
    </row>
    <row r="248" ht="15.75" customHeight="1">
      <c r="C248" s="42"/>
      <c r="D248" s="42"/>
      <c r="E248" s="43"/>
      <c r="F248" s="44"/>
      <c r="G248" s="42"/>
      <c r="H248" s="45" t="str">
        <f>IF(COUNTA(C248:G248)=0,"",IF(AND(COUNTIF(Creditos!C6:C15,C248)=1,ISNUMBER(D248),D248&gt;=1,D248=INT(D248),D248&lt;=SUMIF(Creditos!C6:C15,C248,Creditos!H6:H15),ISNUMBER(E248),E248&gt;0,ISNUMBER(F248),F248&gt;0),"OK","Revisar pago"))</f>
        <v/>
      </c>
    </row>
    <row r="249" ht="15.75" customHeight="1">
      <c r="C249" s="42"/>
      <c r="D249" s="42"/>
      <c r="E249" s="43"/>
      <c r="F249" s="44"/>
      <c r="G249" s="42"/>
      <c r="H249" s="45" t="str">
        <f>IF(COUNTA(C249:G249)=0,"",IF(AND(COUNTIF(Creditos!C6:C15,C249)=1,ISNUMBER(D249),D249&gt;=1,D249=INT(D249),D249&lt;=SUMIF(Creditos!C6:C15,C249,Creditos!H6:H15),ISNUMBER(E249),E249&gt;0,ISNUMBER(F249),F249&gt;0),"OK","Revisar pago"))</f>
        <v/>
      </c>
    </row>
    <row r="250" ht="15.75" customHeight="1">
      <c r="C250" s="42"/>
      <c r="D250" s="42"/>
      <c r="E250" s="43"/>
      <c r="F250" s="44"/>
      <c r="G250" s="42"/>
      <c r="H250" s="45" t="str">
        <f>IF(COUNTA(C250:G250)=0,"",IF(AND(COUNTIF(Creditos!C6:C15,C250)=1,ISNUMBER(D250),D250&gt;=1,D250=INT(D250),D250&lt;=SUMIF(Creditos!C6:C15,C250,Creditos!H6:H15),ISNUMBER(E250),E250&gt;0,ISNUMBER(F250),F250&gt;0),"OK","Revisar pago"))</f>
        <v/>
      </c>
    </row>
    <row r="251" ht="15.75" customHeight="1">
      <c r="C251" s="42"/>
      <c r="D251" s="42"/>
      <c r="E251" s="43"/>
      <c r="F251" s="44"/>
      <c r="G251" s="42"/>
      <c r="H251" s="45" t="str">
        <f>IF(COUNTA(C251:G251)=0,"",IF(AND(COUNTIF(Creditos!C6:C15,C251)=1,ISNUMBER(D251),D251&gt;=1,D251=INT(D251),D251&lt;=SUMIF(Creditos!C6:C15,C251,Creditos!H6:H15),ISNUMBER(E251),E251&gt;0,ISNUMBER(F251),F251&gt;0),"OK","Revisar pago"))</f>
        <v/>
      </c>
    </row>
    <row r="252" ht="15.75" customHeight="1">
      <c r="C252" s="42"/>
      <c r="D252" s="42"/>
      <c r="E252" s="43"/>
      <c r="F252" s="44"/>
      <c r="G252" s="42"/>
      <c r="H252" s="45" t="str">
        <f>IF(COUNTA(C252:G252)=0,"",IF(AND(COUNTIF(Creditos!C6:C15,C252)=1,ISNUMBER(D252),D252&gt;=1,D252=INT(D252),D252&lt;=SUMIF(Creditos!C6:C15,C252,Creditos!H6:H15),ISNUMBER(E252),E252&gt;0,ISNUMBER(F252),F252&gt;0),"OK","Revisar pago"))</f>
        <v/>
      </c>
    </row>
    <row r="253" ht="15.75" customHeight="1">
      <c r="C253" s="42"/>
      <c r="D253" s="42"/>
      <c r="E253" s="43"/>
      <c r="F253" s="44"/>
      <c r="G253" s="42"/>
      <c r="H253" s="45" t="str">
        <f>IF(COUNTA(C253:G253)=0,"",IF(AND(COUNTIF(Creditos!C6:C15,C253)=1,ISNUMBER(D253),D253&gt;=1,D253=INT(D253),D253&lt;=SUMIF(Creditos!C6:C15,C253,Creditos!H6:H15),ISNUMBER(E253),E253&gt;0,ISNUMBER(F253),F253&gt;0),"OK","Revisar pago"))</f>
        <v/>
      </c>
    </row>
    <row r="254" ht="15.75" customHeight="1">
      <c r="C254" s="42"/>
      <c r="D254" s="42"/>
      <c r="E254" s="43"/>
      <c r="F254" s="44"/>
      <c r="G254" s="42"/>
      <c r="H254" s="45" t="str">
        <f>IF(COUNTA(C254:G254)=0,"",IF(AND(COUNTIF(Creditos!C6:C15,C254)=1,ISNUMBER(D254),D254&gt;=1,D254=INT(D254),D254&lt;=SUMIF(Creditos!C6:C15,C254,Creditos!H6:H15),ISNUMBER(E254),E254&gt;0,ISNUMBER(F254),F254&gt;0),"OK","Revisar pago"))</f>
        <v/>
      </c>
    </row>
    <row r="255" ht="15.75" customHeight="1">
      <c r="C255" s="42"/>
      <c r="D255" s="42"/>
      <c r="E255" s="43"/>
      <c r="F255" s="44"/>
      <c r="G255" s="42"/>
      <c r="H255" s="45" t="str">
        <f>IF(COUNTA(C255:G255)=0,"",IF(AND(COUNTIF(Creditos!C6:C15,C255)=1,ISNUMBER(D255),D255&gt;=1,D255=INT(D255),D255&lt;=SUMIF(Creditos!C6:C15,C255,Creditos!H6:H15),ISNUMBER(E255),E255&gt;0,ISNUMBER(F255),F255&gt;0),"OK","Revisar pago"))</f>
        <v/>
      </c>
    </row>
    <row r="256" ht="15.75" customHeight="1">
      <c r="C256" s="42"/>
      <c r="D256" s="42"/>
      <c r="E256" s="43"/>
      <c r="F256" s="44"/>
      <c r="G256" s="42"/>
      <c r="H256" s="45" t="str">
        <f>IF(COUNTA(C256:G256)=0,"",IF(AND(COUNTIF(Creditos!C6:C15,C256)=1,ISNUMBER(D256),D256&gt;=1,D256=INT(D256),D256&lt;=SUMIF(Creditos!C6:C15,C256,Creditos!H6:H15),ISNUMBER(E256),E256&gt;0,ISNUMBER(F256),F256&gt;0),"OK","Revisar pago"))</f>
        <v/>
      </c>
    </row>
    <row r="257" ht="15.75" customHeight="1">
      <c r="C257" s="42"/>
      <c r="D257" s="42"/>
      <c r="E257" s="43"/>
      <c r="F257" s="44"/>
      <c r="G257" s="42"/>
      <c r="H257" s="45" t="str">
        <f>IF(COUNTA(C257:G257)=0,"",IF(AND(COUNTIF(Creditos!C6:C15,C257)=1,ISNUMBER(D257),D257&gt;=1,D257=INT(D257),D257&lt;=SUMIF(Creditos!C6:C15,C257,Creditos!H6:H15),ISNUMBER(E257),E257&gt;0,ISNUMBER(F257),F257&gt;0),"OK","Revisar pago"))</f>
        <v/>
      </c>
    </row>
    <row r="258" ht="15.75" customHeight="1">
      <c r="C258" s="42"/>
      <c r="D258" s="42"/>
      <c r="E258" s="43"/>
      <c r="F258" s="44"/>
      <c r="G258" s="42"/>
      <c r="H258" s="45" t="str">
        <f>IF(COUNTA(C258:G258)=0,"",IF(AND(COUNTIF(Creditos!C6:C15,C258)=1,ISNUMBER(D258),D258&gt;=1,D258=INT(D258),D258&lt;=SUMIF(Creditos!C6:C15,C258,Creditos!H6:H15),ISNUMBER(E258),E258&gt;0,ISNUMBER(F258),F258&gt;0),"OK","Revisar pago"))</f>
        <v/>
      </c>
    </row>
    <row r="259" ht="15.75" customHeight="1">
      <c r="C259" s="42"/>
      <c r="D259" s="42"/>
      <c r="E259" s="43"/>
      <c r="F259" s="44"/>
      <c r="G259" s="42"/>
      <c r="H259" s="45" t="str">
        <f>IF(COUNTA(C259:G259)=0,"",IF(AND(COUNTIF(Creditos!C6:C15,C259)=1,ISNUMBER(D259),D259&gt;=1,D259=INT(D259),D259&lt;=SUMIF(Creditos!C6:C15,C259,Creditos!H6:H15),ISNUMBER(E259),E259&gt;0,ISNUMBER(F259),F259&gt;0),"OK","Revisar pago"))</f>
        <v/>
      </c>
    </row>
    <row r="260" ht="15.75" customHeight="1">
      <c r="C260" s="42"/>
      <c r="D260" s="42"/>
      <c r="E260" s="43"/>
      <c r="F260" s="44"/>
      <c r="G260" s="42"/>
      <c r="H260" s="45" t="str">
        <f>IF(COUNTA(C260:G260)=0,"",IF(AND(COUNTIF(Creditos!C6:C15,C260)=1,ISNUMBER(D260),D260&gt;=1,D260=INT(D260),D260&lt;=SUMIF(Creditos!C6:C15,C260,Creditos!H6:H15),ISNUMBER(E260),E260&gt;0,ISNUMBER(F260),F260&gt;0),"OK","Revisar pago"))</f>
        <v/>
      </c>
    </row>
    <row r="261" ht="15.75" customHeight="1">
      <c r="C261" s="42"/>
      <c r="D261" s="42"/>
      <c r="E261" s="43"/>
      <c r="F261" s="44"/>
      <c r="G261" s="42"/>
      <c r="H261" s="45" t="str">
        <f>IF(COUNTA(C261:G261)=0,"",IF(AND(COUNTIF(Creditos!C6:C15,C261)=1,ISNUMBER(D261),D261&gt;=1,D261=INT(D261),D261&lt;=SUMIF(Creditos!C6:C15,C261,Creditos!H6:H15),ISNUMBER(E261),E261&gt;0,ISNUMBER(F261),F261&gt;0),"OK","Revisar pago"))</f>
        <v/>
      </c>
    </row>
    <row r="262" ht="15.75" customHeight="1">
      <c r="C262" s="42"/>
      <c r="D262" s="42"/>
      <c r="E262" s="43"/>
      <c r="F262" s="44"/>
      <c r="G262" s="42"/>
      <c r="H262" s="45" t="str">
        <f>IF(COUNTA(C262:G262)=0,"",IF(AND(COUNTIF(Creditos!C6:C15,C262)=1,ISNUMBER(D262),D262&gt;=1,D262=INT(D262),D262&lt;=SUMIF(Creditos!C6:C15,C262,Creditos!H6:H15),ISNUMBER(E262),E262&gt;0,ISNUMBER(F262),F262&gt;0),"OK","Revisar pago"))</f>
        <v/>
      </c>
    </row>
    <row r="263" ht="15.75" customHeight="1">
      <c r="C263" s="42"/>
      <c r="D263" s="42"/>
      <c r="E263" s="43"/>
      <c r="F263" s="44"/>
      <c r="G263" s="42"/>
      <c r="H263" s="45" t="str">
        <f>IF(COUNTA(C263:G263)=0,"",IF(AND(COUNTIF(Creditos!C6:C15,C263)=1,ISNUMBER(D263),D263&gt;=1,D263=INT(D263),D263&lt;=SUMIF(Creditos!C6:C15,C263,Creditos!H6:H15),ISNUMBER(E263),E263&gt;0,ISNUMBER(F263),F263&gt;0),"OK","Revisar pago"))</f>
        <v/>
      </c>
    </row>
    <row r="264" ht="15.75" customHeight="1">
      <c r="C264" s="42"/>
      <c r="D264" s="42"/>
      <c r="E264" s="43"/>
      <c r="F264" s="44"/>
      <c r="G264" s="42"/>
      <c r="H264" s="45" t="str">
        <f>IF(COUNTA(C264:G264)=0,"",IF(AND(COUNTIF(Creditos!C6:C15,C264)=1,ISNUMBER(D264),D264&gt;=1,D264=INT(D264),D264&lt;=SUMIF(Creditos!C6:C15,C264,Creditos!H6:H15),ISNUMBER(E264),E264&gt;0,ISNUMBER(F264),F264&gt;0),"OK","Revisar pago"))</f>
        <v/>
      </c>
    </row>
    <row r="265" ht="15.75" customHeight="1">
      <c r="C265" s="42"/>
      <c r="D265" s="42"/>
      <c r="E265" s="43"/>
      <c r="F265" s="44"/>
      <c r="G265" s="42"/>
      <c r="H265" s="45" t="str">
        <f>IF(COUNTA(C265:G265)=0,"",IF(AND(COUNTIF(Creditos!C6:C15,C265)=1,ISNUMBER(D265),D265&gt;=1,D265=INT(D265),D265&lt;=SUMIF(Creditos!C6:C15,C265,Creditos!H6:H15),ISNUMBER(E265),E265&gt;0,ISNUMBER(F265),F265&gt;0),"OK","Revisar pago"))</f>
        <v/>
      </c>
    </row>
    <row r="266" ht="15.75" customHeight="1">
      <c r="C266" s="42"/>
      <c r="D266" s="42"/>
      <c r="E266" s="43"/>
      <c r="F266" s="44"/>
      <c r="G266" s="42"/>
      <c r="H266" s="45" t="str">
        <f>IF(COUNTA(C266:G266)=0,"",IF(AND(COUNTIF(Creditos!C6:C15,C266)=1,ISNUMBER(D266),D266&gt;=1,D266=INT(D266),D266&lt;=SUMIF(Creditos!C6:C15,C266,Creditos!H6:H15),ISNUMBER(E266),E266&gt;0,ISNUMBER(F266),F266&gt;0),"OK","Revisar pago"))</f>
        <v/>
      </c>
    </row>
    <row r="267" ht="15.75" customHeight="1">
      <c r="C267" s="42"/>
      <c r="D267" s="42"/>
      <c r="E267" s="43"/>
      <c r="F267" s="44"/>
      <c r="G267" s="42"/>
      <c r="H267" s="45" t="str">
        <f>IF(COUNTA(C267:G267)=0,"",IF(AND(COUNTIF(Creditos!C6:C15,C267)=1,ISNUMBER(D267),D267&gt;=1,D267=INT(D267),D267&lt;=SUMIF(Creditos!C6:C15,C267,Creditos!H6:H15),ISNUMBER(E267),E267&gt;0,ISNUMBER(F267),F267&gt;0),"OK","Revisar pago"))</f>
        <v/>
      </c>
    </row>
    <row r="268" ht="15.75" customHeight="1">
      <c r="C268" s="42"/>
      <c r="D268" s="42"/>
      <c r="E268" s="43"/>
      <c r="F268" s="44"/>
      <c r="G268" s="42"/>
      <c r="H268" s="45" t="str">
        <f>IF(COUNTA(C268:G268)=0,"",IF(AND(COUNTIF(Creditos!C6:C15,C268)=1,ISNUMBER(D268),D268&gt;=1,D268=INT(D268),D268&lt;=SUMIF(Creditos!C6:C15,C268,Creditos!H6:H15),ISNUMBER(E268),E268&gt;0,ISNUMBER(F268),F268&gt;0),"OK","Revisar pago"))</f>
        <v/>
      </c>
    </row>
    <row r="269" ht="15.75" customHeight="1">
      <c r="C269" s="42"/>
      <c r="D269" s="42"/>
      <c r="E269" s="43"/>
      <c r="F269" s="44"/>
      <c r="G269" s="42"/>
      <c r="H269" s="45" t="str">
        <f>IF(COUNTA(C269:G269)=0,"",IF(AND(COUNTIF(Creditos!C6:C15,C269)=1,ISNUMBER(D269),D269&gt;=1,D269=INT(D269),D269&lt;=SUMIF(Creditos!C6:C15,C269,Creditos!H6:H15),ISNUMBER(E269),E269&gt;0,ISNUMBER(F269),F269&gt;0),"OK","Revisar pago"))</f>
        <v/>
      </c>
    </row>
    <row r="270" ht="15.75" customHeight="1">
      <c r="C270" s="42"/>
      <c r="D270" s="42"/>
      <c r="E270" s="43"/>
      <c r="F270" s="44"/>
      <c r="G270" s="42"/>
      <c r="H270" s="45" t="str">
        <f>IF(COUNTA(C270:G270)=0,"",IF(AND(COUNTIF(Creditos!C6:C15,C270)=1,ISNUMBER(D270),D270&gt;=1,D270=INT(D270),D270&lt;=SUMIF(Creditos!C6:C15,C270,Creditos!H6:H15),ISNUMBER(E270),E270&gt;0,ISNUMBER(F270),F270&gt;0),"OK","Revisar pago"))</f>
        <v/>
      </c>
    </row>
    <row r="271" ht="15.75" customHeight="1">
      <c r="C271" s="42"/>
      <c r="D271" s="42"/>
      <c r="E271" s="43"/>
      <c r="F271" s="44"/>
      <c r="G271" s="42"/>
      <c r="H271" s="45" t="str">
        <f>IF(COUNTA(C271:G271)=0,"",IF(AND(COUNTIF(Creditos!C6:C15,C271)=1,ISNUMBER(D271),D271&gt;=1,D271=INT(D271),D271&lt;=SUMIF(Creditos!C6:C15,C271,Creditos!H6:H15),ISNUMBER(E271),E271&gt;0,ISNUMBER(F271),F271&gt;0),"OK","Revisar pago"))</f>
        <v/>
      </c>
    </row>
    <row r="272" ht="15.75" customHeight="1">
      <c r="C272" s="42"/>
      <c r="D272" s="42"/>
      <c r="E272" s="43"/>
      <c r="F272" s="44"/>
      <c r="G272" s="42"/>
      <c r="H272" s="45" t="str">
        <f>IF(COUNTA(C272:G272)=0,"",IF(AND(COUNTIF(Creditos!C6:C15,C272)=1,ISNUMBER(D272),D272&gt;=1,D272=INT(D272),D272&lt;=SUMIF(Creditos!C6:C15,C272,Creditos!H6:H15),ISNUMBER(E272),E272&gt;0,ISNUMBER(F272),F272&gt;0),"OK","Revisar pago"))</f>
        <v/>
      </c>
    </row>
    <row r="273" ht="15.75" customHeight="1">
      <c r="C273" s="42"/>
      <c r="D273" s="42"/>
      <c r="E273" s="43"/>
      <c r="F273" s="44"/>
      <c r="G273" s="42"/>
      <c r="H273" s="45" t="str">
        <f>IF(COUNTA(C273:G273)=0,"",IF(AND(COUNTIF(Creditos!C6:C15,C273)=1,ISNUMBER(D273),D273&gt;=1,D273=INT(D273),D273&lt;=SUMIF(Creditos!C6:C15,C273,Creditos!H6:H15),ISNUMBER(E273),E273&gt;0,ISNUMBER(F273),F273&gt;0),"OK","Revisar pago"))</f>
        <v/>
      </c>
    </row>
    <row r="274" ht="15.75" customHeight="1">
      <c r="C274" s="42"/>
      <c r="D274" s="42"/>
      <c r="E274" s="43"/>
      <c r="F274" s="44"/>
      <c r="G274" s="42"/>
      <c r="H274" s="45" t="str">
        <f>IF(COUNTA(C274:G274)=0,"",IF(AND(COUNTIF(Creditos!C6:C15,C274)=1,ISNUMBER(D274),D274&gt;=1,D274=INT(D274),D274&lt;=SUMIF(Creditos!C6:C15,C274,Creditos!H6:H15),ISNUMBER(E274),E274&gt;0,ISNUMBER(F274),F274&gt;0),"OK","Revisar pago"))</f>
        <v/>
      </c>
    </row>
    <row r="275" ht="15.75" customHeight="1">
      <c r="C275" s="42"/>
      <c r="D275" s="42"/>
      <c r="E275" s="43"/>
      <c r="F275" s="44"/>
      <c r="G275" s="42"/>
      <c r="H275" s="45" t="str">
        <f>IF(COUNTA(C275:G275)=0,"",IF(AND(COUNTIF(Creditos!C6:C15,C275)=1,ISNUMBER(D275),D275&gt;=1,D275=INT(D275),D275&lt;=SUMIF(Creditos!C6:C15,C275,Creditos!H6:H15),ISNUMBER(E275),E275&gt;0,ISNUMBER(F275),F275&gt;0),"OK","Revisar pago"))</f>
        <v/>
      </c>
    </row>
    <row r="276" ht="15.75" customHeight="1">
      <c r="C276" s="42"/>
      <c r="D276" s="42"/>
      <c r="E276" s="43"/>
      <c r="F276" s="44"/>
      <c r="G276" s="42"/>
      <c r="H276" s="45" t="str">
        <f>IF(COUNTA(C276:G276)=0,"",IF(AND(COUNTIF(Creditos!C6:C15,C276)=1,ISNUMBER(D276),D276&gt;=1,D276=INT(D276),D276&lt;=SUMIF(Creditos!C6:C15,C276,Creditos!H6:H15),ISNUMBER(E276),E276&gt;0,ISNUMBER(F276),F276&gt;0),"OK","Revisar pago"))</f>
        <v/>
      </c>
    </row>
    <row r="277" ht="15.75" customHeight="1">
      <c r="C277" s="42"/>
      <c r="D277" s="42"/>
      <c r="E277" s="43"/>
      <c r="F277" s="44"/>
      <c r="G277" s="42"/>
      <c r="H277" s="45" t="str">
        <f>IF(COUNTA(C277:G277)=0,"",IF(AND(COUNTIF(Creditos!C6:C15,C277)=1,ISNUMBER(D277),D277&gt;=1,D277=INT(D277),D277&lt;=SUMIF(Creditos!C6:C15,C277,Creditos!H6:H15),ISNUMBER(E277),E277&gt;0,ISNUMBER(F277),F277&gt;0),"OK","Revisar pago"))</f>
        <v/>
      </c>
    </row>
    <row r="278" ht="15.75" customHeight="1">
      <c r="C278" s="42"/>
      <c r="D278" s="42"/>
      <c r="E278" s="43"/>
      <c r="F278" s="44"/>
      <c r="G278" s="42"/>
      <c r="H278" s="45" t="str">
        <f>IF(COUNTA(C278:G278)=0,"",IF(AND(COUNTIF(Creditos!C6:C15,C278)=1,ISNUMBER(D278),D278&gt;=1,D278=INT(D278),D278&lt;=SUMIF(Creditos!C6:C15,C278,Creditos!H6:H15),ISNUMBER(E278),E278&gt;0,ISNUMBER(F278),F278&gt;0),"OK","Revisar pago"))</f>
        <v/>
      </c>
    </row>
    <row r="279" ht="15.75" customHeight="1">
      <c r="C279" s="42"/>
      <c r="D279" s="42"/>
      <c r="E279" s="43"/>
      <c r="F279" s="44"/>
      <c r="G279" s="42"/>
      <c r="H279" s="45" t="str">
        <f>IF(COUNTA(C279:G279)=0,"",IF(AND(COUNTIF(Creditos!C6:C15,C279)=1,ISNUMBER(D279),D279&gt;=1,D279=INT(D279),D279&lt;=SUMIF(Creditos!C6:C15,C279,Creditos!H6:H15),ISNUMBER(E279),E279&gt;0,ISNUMBER(F279),F279&gt;0),"OK","Revisar pago"))</f>
        <v/>
      </c>
    </row>
    <row r="280" ht="15.75" customHeight="1">
      <c r="C280" s="42"/>
      <c r="D280" s="42"/>
      <c r="E280" s="43"/>
      <c r="F280" s="44"/>
      <c r="G280" s="42"/>
      <c r="H280" s="45" t="str">
        <f>IF(COUNTA(C280:G280)=0,"",IF(AND(COUNTIF(Creditos!C6:C15,C280)=1,ISNUMBER(D280),D280&gt;=1,D280=INT(D280),D280&lt;=SUMIF(Creditos!C6:C15,C280,Creditos!H6:H15),ISNUMBER(E280),E280&gt;0,ISNUMBER(F280),F280&gt;0),"OK","Revisar pago"))</f>
        <v/>
      </c>
    </row>
    <row r="281" ht="15.75" customHeight="1">
      <c r="C281" s="42"/>
      <c r="D281" s="42"/>
      <c r="E281" s="43"/>
      <c r="F281" s="44"/>
      <c r="G281" s="42"/>
      <c r="H281" s="45" t="str">
        <f>IF(COUNTA(C281:G281)=0,"",IF(AND(COUNTIF(Creditos!C6:C15,C281)=1,ISNUMBER(D281),D281&gt;=1,D281=INT(D281),D281&lt;=SUMIF(Creditos!C6:C15,C281,Creditos!H6:H15),ISNUMBER(E281),E281&gt;0,ISNUMBER(F281),F281&gt;0),"OK","Revisar pago"))</f>
        <v/>
      </c>
    </row>
    <row r="282" ht="15.75" customHeight="1">
      <c r="C282" s="42"/>
      <c r="D282" s="42"/>
      <c r="E282" s="43"/>
      <c r="F282" s="44"/>
      <c r="G282" s="42"/>
      <c r="H282" s="45" t="str">
        <f>IF(COUNTA(C282:G282)=0,"",IF(AND(COUNTIF(Creditos!C6:C15,C282)=1,ISNUMBER(D282),D282&gt;=1,D282=INT(D282),D282&lt;=SUMIF(Creditos!C6:C15,C282,Creditos!H6:H15),ISNUMBER(E282),E282&gt;0,ISNUMBER(F282),F282&gt;0),"OK","Revisar pago"))</f>
        <v/>
      </c>
    </row>
    <row r="283" ht="15.75" customHeight="1">
      <c r="C283" s="42"/>
      <c r="D283" s="42"/>
      <c r="E283" s="43"/>
      <c r="F283" s="44"/>
      <c r="G283" s="42"/>
      <c r="H283" s="45" t="str">
        <f>IF(COUNTA(C283:G283)=0,"",IF(AND(COUNTIF(Creditos!C6:C15,C283)=1,ISNUMBER(D283),D283&gt;=1,D283=INT(D283),D283&lt;=SUMIF(Creditos!C6:C15,C283,Creditos!H6:H15),ISNUMBER(E283),E283&gt;0,ISNUMBER(F283),F283&gt;0),"OK","Revisar pago"))</f>
        <v/>
      </c>
    </row>
    <row r="284" ht="15.75" customHeight="1">
      <c r="C284" s="42"/>
      <c r="D284" s="42"/>
      <c r="E284" s="43"/>
      <c r="F284" s="44"/>
      <c r="G284" s="42"/>
      <c r="H284" s="45" t="str">
        <f>IF(COUNTA(C284:G284)=0,"",IF(AND(COUNTIF(Creditos!C6:C15,C284)=1,ISNUMBER(D284),D284&gt;=1,D284=INT(D284),D284&lt;=SUMIF(Creditos!C6:C15,C284,Creditos!H6:H15),ISNUMBER(E284),E284&gt;0,ISNUMBER(F284),F284&gt;0),"OK","Revisar pago"))</f>
        <v/>
      </c>
    </row>
    <row r="285" ht="15.75" customHeight="1">
      <c r="C285" s="42"/>
      <c r="D285" s="42"/>
      <c r="E285" s="43"/>
      <c r="F285" s="44"/>
      <c r="G285" s="42"/>
      <c r="H285" s="45" t="str">
        <f>IF(COUNTA(C285:G285)=0,"",IF(AND(COUNTIF(Creditos!C6:C15,C285)=1,ISNUMBER(D285),D285&gt;=1,D285=INT(D285),D285&lt;=SUMIF(Creditos!C6:C15,C285,Creditos!H6:H15),ISNUMBER(E285),E285&gt;0,ISNUMBER(F285),F285&gt;0),"OK","Revisar pago"))</f>
        <v/>
      </c>
    </row>
    <row r="286" ht="15.75" customHeight="1">
      <c r="C286" s="42"/>
      <c r="D286" s="42"/>
      <c r="E286" s="43"/>
      <c r="F286" s="44"/>
      <c r="G286" s="42"/>
      <c r="H286" s="45" t="str">
        <f>IF(COUNTA(C286:G286)=0,"",IF(AND(COUNTIF(Creditos!C6:C15,C286)=1,ISNUMBER(D286),D286&gt;=1,D286=INT(D286),D286&lt;=SUMIF(Creditos!C6:C15,C286,Creditos!H6:H15),ISNUMBER(E286),E286&gt;0,ISNUMBER(F286),F286&gt;0),"OK","Revisar pago"))</f>
        <v/>
      </c>
    </row>
    <row r="287" ht="15.75" customHeight="1">
      <c r="C287" s="42"/>
      <c r="D287" s="42"/>
      <c r="E287" s="43"/>
      <c r="F287" s="44"/>
      <c r="G287" s="42"/>
      <c r="H287" s="45" t="str">
        <f>IF(COUNTA(C287:G287)=0,"",IF(AND(COUNTIF(Creditos!C6:C15,C287)=1,ISNUMBER(D287),D287&gt;=1,D287=INT(D287),D287&lt;=SUMIF(Creditos!C6:C15,C287,Creditos!H6:H15),ISNUMBER(E287),E287&gt;0,ISNUMBER(F287),F287&gt;0),"OK","Revisar pago"))</f>
        <v/>
      </c>
    </row>
    <row r="288" ht="15.75" customHeight="1">
      <c r="C288" s="42"/>
      <c r="D288" s="42"/>
      <c r="E288" s="43"/>
      <c r="F288" s="44"/>
      <c r="G288" s="42"/>
      <c r="H288" s="45" t="str">
        <f>IF(COUNTA(C288:G288)=0,"",IF(AND(COUNTIF(Creditos!C6:C15,C288)=1,ISNUMBER(D288),D288&gt;=1,D288=INT(D288),D288&lt;=SUMIF(Creditos!C6:C15,C288,Creditos!H6:H15),ISNUMBER(E288),E288&gt;0,ISNUMBER(F288),F288&gt;0),"OK","Revisar pago"))</f>
        <v/>
      </c>
    </row>
    <row r="289" ht="15.75" customHeight="1">
      <c r="C289" s="42"/>
      <c r="D289" s="42"/>
      <c r="E289" s="43"/>
      <c r="F289" s="44"/>
      <c r="G289" s="42"/>
      <c r="H289" s="45" t="str">
        <f>IF(COUNTA(C289:G289)=0,"",IF(AND(COUNTIF(Creditos!C6:C15,C289)=1,ISNUMBER(D289),D289&gt;=1,D289=INT(D289),D289&lt;=SUMIF(Creditos!C6:C15,C289,Creditos!H6:H15),ISNUMBER(E289),E289&gt;0,ISNUMBER(F289),F289&gt;0),"OK","Revisar pago"))</f>
        <v/>
      </c>
    </row>
    <row r="290" ht="15.75" customHeight="1">
      <c r="C290" s="42"/>
      <c r="D290" s="42"/>
      <c r="E290" s="43"/>
      <c r="F290" s="44"/>
      <c r="G290" s="42"/>
      <c r="H290" s="45" t="str">
        <f>IF(COUNTA(C290:G290)=0,"",IF(AND(COUNTIF(Creditos!C6:C15,C290)=1,ISNUMBER(D290),D290&gt;=1,D290=INT(D290),D290&lt;=SUMIF(Creditos!C6:C15,C290,Creditos!H6:H15),ISNUMBER(E290),E290&gt;0,ISNUMBER(F290),F290&gt;0),"OK","Revisar pago"))</f>
        <v/>
      </c>
    </row>
    <row r="291" ht="15.75" customHeight="1">
      <c r="C291" s="42"/>
      <c r="D291" s="42"/>
      <c r="E291" s="43"/>
      <c r="F291" s="44"/>
      <c r="G291" s="42"/>
      <c r="H291" s="45" t="str">
        <f>IF(COUNTA(C291:G291)=0,"",IF(AND(COUNTIF(Creditos!C6:C15,C291)=1,ISNUMBER(D291),D291&gt;=1,D291=INT(D291),D291&lt;=SUMIF(Creditos!C6:C15,C291,Creditos!H6:H15),ISNUMBER(E291),E291&gt;0,ISNUMBER(F291),F291&gt;0),"OK","Revisar pago"))</f>
        <v/>
      </c>
    </row>
    <row r="292" ht="15.75" customHeight="1">
      <c r="C292" s="42"/>
      <c r="D292" s="42"/>
      <c r="E292" s="43"/>
      <c r="F292" s="44"/>
      <c r="G292" s="42"/>
      <c r="H292" s="45" t="str">
        <f>IF(COUNTA(C292:G292)=0,"",IF(AND(COUNTIF(Creditos!C6:C15,C292)=1,ISNUMBER(D292),D292&gt;=1,D292=INT(D292),D292&lt;=SUMIF(Creditos!C6:C15,C292,Creditos!H6:H15),ISNUMBER(E292),E292&gt;0,ISNUMBER(F292),F292&gt;0),"OK","Revisar pago"))</f>
        <v/>
      </c>
    </row>
    <row r="293" ht="15.75" customHeight="1">
      <c r="C293" s="42"/>
      <c r="D293" s="42"/>
      <c r="E293" s="43"/>
      <c r="F293" s="44"/>
      <c r="G293" s="42"/>
      <c r="H293" s="45" t="str">
        <f>IF(COUNTA(C293:G293)=0,"",IF(AND(COUNTIF(Creditos!C6:C15,C293)=1,ISNUMBER(D293),D293&gt;=1,D293=INT(D293),D293&lt;=SUMIF(Creditos!C6:C15,C293,Creditos!H6:H15),ISNUMBER(E293),E293&gt;0,ISNUMBER(F293),F293&gt;0),"OK","Revisar pago"))</f>
        <v/>
      </c>
    </row>
    <row r="294" ht="15.75" customHeight="1">
      <c r="C294" s="42"/>
      <c r="D294" s="42"/>
      <c r="E294" s="43"/>
      <c r="F294" s="44"/>
      <c r="G294" s="42"/>
      <c r="H294" s="45" t="str">
        <f>IF(COUNTA(C294:G294)=0,"",IF(AND(COUNTIF(Creditos!C6:C15,C294)=1,ISNUMBER(D294),D294&gt;=1,D294=INT(D294),D294&lt;=SUMIF(Creditos!C6:C15,C294,Creditos!H6:H15),ISNUMBER(E294),E294&gt;0,ISNUMBER(F294),F294&gt;0),"OK","Revisar pago"))</f>
        <v/>
      </c>
    </row>
    <row r="295" ht="15.75" customHeight="1">
      <c r="C295" s="42"/>
      <c r="D295" s="42"/>
      <c r="E295" s="43"/>
      <c r="F295" s="44"/>
      <c r="G295" s="42"/>
      <c r="H295" s="45" t="str">
        <f>IF(COUNTA(C295:G295)=0,"",IF(AND(COUNTIF(Creditos!C6:C15,C295)=1,ISNUMBER(D295),D295&gt;=1,D295=INT(D295),D295&lt;=SUMIF(Creditos!C6:C15,C295,Creditos!H6:H15),ISNUMBER(E295),E295&gt;0,ISNUMBER(F295),F295&gt;0),"OK","Revisar pago"))</f>
        <v/>
      </c>
    </row>
    <row r="296" ht="15.75" customHeight="1">
      <c r="C296" s="42"/>
      <c r="D296" s="42"/>
      <c r="E296" s="43"/>
      <c r="F296" s="44"/>
      <c r="G296" s="42"/>
      <c r="H296" s="45" t="str">
        <f>IF(COUNTA(C296:G296)=0,"",IF(AND(COUNTIF(Creditos!C6:C15,C296)=1,ISNUMBER(D296),D296&gt;=1,D296=INT(D296),D296&lt;=SUMIF(Creditos!C6:C15,C296,Creditos!H6:H15),ISNUMBER(E296),E296&gt;0,ISNUMBER(F296),F296&gt;0),"OK","Revisar pago"))</f>
        <v/>
      </c>
    </row>
    <row r="297" ht="15.75" customHeight="1">
      <c r="C297" s="42"/>
      <c r="D297" s="42"/>
      <c r="E297" s="43"/>
      <c r="F297" s="44"/>
      <c r="G297" s="42"/>
      <c r="H297" s="45" t="str">
        <f>IF(COUNTA(C297:G297)=0,"",IF(AND(COUNTIF(Creditos!C6:C15,C297)=1,ISNUMBER(D297),D297&gt;=1,D297=INT(D297),D297&lt;=SUMIF(Creditos!C6:C15,C297,Creditos!H6:H15),ISNUMBER(E297),E297&gt;0,ISNUMBER(F297),F297&gt;0),"OK","Revisar pago"))</f>
        <v/>
      </c>
    </row>
    <row r="298" ht="15.75" customHeight="1">
      <c r="C298" s="42"/>
      <c r="D298" s="42"/>
      <c r="E298" s="43"/>
      <c r="F298" s="44"/>
      <c r="G298" s="42"/>
      <c r="H298" s="45" t="str">
        <f>IF(COUNTA(C298:G298)=0,"",IF(AND(COUNTIF(Creditos!C6:C15,C298)=1,ISNUMBER(D298),D298&gt;=1,D298=INT(D298),D298&lt;=SUMIF(Creditos!C6:C15,C298,Creditos!H6:H15),ISNUMBER(E298),E298&gt;0,ISNUMBER(F298),F298&gt;0),"OK","Revisar pago"))</f>
        <v/>
      </c>
    </row>
    <row r="299" ht="15.75" customHeight="1">
      <c r="C299" s="42"/>
      <c r="D299" s="42"/>
      <c r="E299" s="43"/>
      <c r="F299" s="44"/>
      <c r="G299" s="42"/>
      <c r="H299" s="45" t="str">
        <f>IF(COUNTA(C299:G299)=0,"",IF(AND(COUNTIF(Creditos!C6:C15,C299)=1,ISNUMBER(D299),D299&gt;=1,D299=INT(D299),D299&lt;=SUMIF(Creditos!C6:C15,C299,Creditos!H6:H15),ISNUMBER(E299),E299&gt;0,ISNUMBER(F299),F299&gt;0),"OK","Revisar pago"))</f>
        <v/>
      </c>
    </row>
    <row r="300" ht="15.75" customHeight="1">
      <c r="C300" s="42"/>
      <c r="D300" s="42"/>
      <c r="E300" s="43"/>
      <c r="F300" s="44"/>
      <c r="G300" s="42"/>
      <c r="H300" s="45" t="str">
        <f>IF(COUNTA(C300:G300)=0,"",IF(AND(COUNTIF(Creditos!C6:C15,C300)=1,ISNUMBER(D300),D300&gt;=1,D300=INT(D300),D300&lt;=SUMIF(Creditos!C6:C15,C300,Creditos!H6:H15),ISNUMBER(E300),E300&gt;0,ISNUMBER(F300),F300&gt;0),"OK","Revisar pago"))</f>
        <v/>
      </c>
    </row>
    <row r="301" ht="15.75" customHeight="1">
      <c r="C301" s="42"/>
      <c r="D301" s="42"/>
      <c r="E301" s="43"/>
      <c r="F301" s="44"/>
      <c r="G301" s="42"/>
      <c r="H301" s="45" t="str">
        <f>IF(COUNTA(C301:G301)=0,"",IF(AND(COUNTIF(Creditos!C6:C15,C301)=1,ISNUMBER(D301),D301&gt;=1,D301=INT(D301),D301&lt;=SUMIF(Creditos!C6:C15,C301,Creditos!H6:H15),ISNUMBER(E301),E301&gt;0,ISNUMBER(F301),F301&gt;0),"OK","Revisar pago"))</f>
        <v/>
      </c>
    </row>
    <row r="302" ht="15.75" customHeight="1">
      <c r="C302" s="42"/>
      <c r="D302" s="42"/>
      <c r="E302" s="43"/>
      <c r="F302" s="44"/>
      <c r="G302" s="42"/>
      <c r="H302" s="45" t="str">
        <f>IF(COUNTA(C302:G302)=0,"",IF(AND(COUNTIF(Creditos!C6:C15,C302)=1,ISNUMBER(D302),D302&gt;=1,D302=INT(D302),D302&lt;=SUMIF(Creditos!C6:C15,C302,Creditos!H6:H15),ISNUMBER(E302),E302&gt;0,ISNUMBER(F302),F302&gt;0),"OK","Revisar pago"))</f>
        <v/>
      </c>
    </row>
    <row r="303" ht="15.75" customHeight="1">
      <c r="C303" s="42"/>
      <c r="D303" s="42"/>
      <c r="E303" s="43"/>
      <c r="F303" s="44"/>
      <c r="G303" s="42"/>
      <c r="H303" s="45" t="str">
        <f>IF(COUNTA(C303:G303)=0,"",IF(AND(COUNTIF(Creditos!C6:C15,C303)=1,ISNUMBER(D303),D303&gt;=1,D303=INT(D303),D303&lt;=SUMIF(Creditos!C6:C15,C303,Creditos!H6:H15),ISNUMBER(E303),E303&gt;0,ISNUMBER(F303),F303&gt;0),"OK","Revisar pago"))</f>
        <v/>
      </c>
    </row>
    <row r="304" ht="15.75" customHeight="1">
      <c r="C304" s="42"/>
      <c r="D304" s="42"/>
      <c r="E304" s="43"/>
      <c r="F304" s="44"/>
      <c r="G304" s="42"/>
      <c r="H304" s="45" t="str">
        <f>IF(COUNTA(C304:G304)=0,"",IF(AND(COUNTIF(Creditos!C6:C15,C304)=1,ISNUMBER(D304),D304&gt;=1,D304=INT(D304),D304&lt;=SUMIF(Creditos!C6:C15,C304,Creditos!H6:H15),ISNUMBER(E304),E304&gt;0,ISNUMBER(F304),F304&gt;0),"OK","Revisar pago"))</f>
        <v/>
      </c>
    </row>
    <row r="305" ht="15.75" customHeight="1">
      <c r="C305" s="42"/>
      <c r="D305" s="42"/>
      <c r="E305" s="43"/>
      <c r="F305" s="44"/>
      <c r="G305" s="42"/>
      <c r="H305" s="45" t="str">
        <f>IF(COUNTA(C305:G305)=0,"",IF(AND(COUNTIF(Creditos!C6:C15,C305)=1,ISNUMBER(D305),D305&gt;=1,D305=INT(D305),D305&lt;=SUMIF(Creditos!C6:C15,C305,Creditos!H6:H15),ISNUMBER(E305),E305&gt;0,ISNUMBER(F305),F305&gt;0),"OK","Revisar pago"))</f>
        <v/>
      </c>
    </row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6:H305">
    <cfRule type="containsText" dxfId="0" priority="1" stopIfTrue="1" operator="containsText" text="Revisar">
      <formula>NOT(ISERROR(SEARCH(("Revisar"),(H6))))</formula>
    </cfRule>
  </conditionalFormatting>
  <dataValidations>
    <dataValidation type="decimal" operator="greaterThan" allowBlank="1" showErrorMessage="1" sqref="F6:F305">
      <formula1>0.0</formula1>
    </dataValidation>
    <dataValidation type="decimal" allowBlank="1" showErrorMessage="1" sqref="D6:D305">
      <formula1>1.0</formula1>
      <formula2>60.0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5" width="18.0"/>
    <col customWidth="1" min="6" max="6" width="48.0"/>
    <col customWidth="1" min="7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4" t="s">
        <v>73</v>
      </c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74</v>
      </c>
      <c r="D6" s="13" t="s">
        <v>75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76</v>
      </c>
      <c r="D9" s="13" t="s">
        <v>77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78</v>
      </c>
      <c r="D12" s="13" t="s">
        <v>79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" t="s">
        <v>80</v>
      </c>
      <c r="D15" s="13" t="s">
        <v>81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 t="s">
        <v>82</v>
      </c>
      <c r="D18" s="13" t="s">
        <v>83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 t="s">
        <v>84</v>
      </c>
      <c r="D21" s="13" t="s">
        <v>85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 t="s">
        <v>86</v>
      </c>
      <c r="D24" s="13" t="s">
        <v>87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 t="s">
        <v>88</v>
      </c>
      <c r="D27" s="13" t="s">
        <v>89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75" customHeight="1">
      <c r="A31" s="1"/>
      <c r="B31" s="1"/>
      <c r="C31" s="4" t="s">
        <v>90</v>
      </c>
      <c r="D31" s="4"/>
      <c r="E31" s="4"/>
      <c r="F31" s="4"/>
      <c r="G31" s="4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 t="s">
        <v>91</v>
      </c>
      <c r="D33" s="13" t="s">
        <v>92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75" customHeight="1">
      <c r="A37" s="1"/>
      <c r="B37" s="1"/>
      <c r="C37" s="4" t="s">
        <v>93</v>
      </c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45.75" customHeight="1">
      <c r="A38" s="1"/>
      <c r="B38" s="1"/>
      <c r="C38" s="6" t="s">
        <v>94</v>
      </c>
      <c r="D38" s="6" t="s">
        <v>95</v>
      </c>
      <c r="E38" s="6" t="s">
        <v>52</v>
      </c>
      <c r="F38" s="6" t="s">
        <v>96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42.0" customHeight="1">
      <c r="A39" s="1"/>
      <c r="B39" s="1"/>
      <c r="C39" s="13" t="s">
        <v>97</v>
      </c>
      <c r="D39" s="38">
        <f>COUNTIF(Creditos!M6:M15,"Revisar datos")</f>
        <v>0</v>
      </c>
      <c r="E39" s="13" t="str">
        <f t="shared" ref="E39:E44" si="1">IF(ABS(D39)&lt;0.01,"OK","Revisar")</f>
        <v>OK</v>
      </c>
      <c r="F39" s="13" t="s">
        <v>98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42.0" customHeight="1">
      <c r="A40" s="1"/>
      <c r="B40" s="1"/>
      <c r="C40" s="13" t="s">
        <v>99</v>
      </c>
      <c r="D40" s="38">
        <f>COUNTIF(Pagos!H6:H305,"Revisar pago")</f>
        <v>0</v>
      </c>
      <c r="E40" s="13" t="str">
        <f t="shared" si="1"/>
        <v>OK</v>
      </c>
      <c r="F40" s="13" t="s">
        <v>100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42.0" customHeight="1">
      <c r="A41" s="1"/>
      <c r="B41" s="1"/>
      <c r="C41" s="13" t="s">
        <v>101</v>
      </c>
      <c r="D41" s="38">
        <f>SUM(Calendario!J6:J605)-SUM(Creditos!E6:E15)</f>
        <v>0</v>
      </c>
      <c r="E41" s="13" t="str">
        <f t="shared" si="1"/>
        <v>OK</v>
      </c>
      <c r="F41" s="13" t="s">
        <v>102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42.0" customHeight="1">
      <c r="A42" s="1"/>
      <c r="B42" s="1"/>
      <c r="C42" s="13" t="s">
        <v>103</v>
      </c>
      <c r="D42" s="38">
        <f>SUM(Creditos!E6:E15)-SUM(Calendario!O6:O605)-SUM(Resumen!F17:F26)</f>
        <v>0</v>
      </c>
      <c r="E42" s="13" t="str">
        <f t="shared" si="1"/>
        <v>OK</v>
      </c>
      <c r="F42" s="13" t="s">
        <v>104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42.0" customHeight="1">
      <c r="A43" s="1"/>
      <c r="B43" s="1"/>
      <c r="C43" s="13" t="s">
        <v>105</v>
      </c>
      <c r="D43" s="38">
        <f>SUM(Calendario!L6:L605)-SUM(Calendario!H6:H605)-SUM(Calendario!J6:J605)-SUM(Calendario!K6:K605)</f>
        <v>0.0000000002328306437</v>
      </c>
      <c r="E43" s="13" t="str">
        <f t="shared" si="1"/>
        <v>OK</v>
      </c>
      <c r="F43" s="13" t="s">
        <v>106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42.0" customHeight="1">
      <c r="A44" s="1"/>
      <c r="B44" s="1"/>
      <c r="C44" s="13" t="s">
        <v>107</v>
      </c>
      <c r="D44" s="38">
        <f>SUM(Calendario!R6:R605)</f>
        <v>0</v>
      </c>
      <c r="E44" s="13" t="str">
        <f t="shared" si="1"/>
        <v>OK</v>
      </c>
      <c r="F44" s="13" t="s">
        <v>108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27:J28"/>
    <mergeCell ref="D33:J34"/>
    <mergeCell ref="D6:J7"/>
    <mergeCell ref="D9:J10"/>
    <mergeCell ref="D12:J13"/>
    <mergeCell ref="D15:J16"/>
    <mergeCell ref="D18:J19"/>
    <mergeCell ref="D21:J22"/>
    <mergeCell ref="D24:J25"/>
  </mergeCells>
  <printOptions/>
  <pageMargins bottom="0.75" footer="0.0" header="0.0" left="0.7" right="0.7" top="0.75"/>
  <pageSetup orientation="landscape"/>
  <drawing r:id="rId1"/>
</worksheet>
</file>